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645" windowWidth="12120" windowHeight="9645"/>
  </bookViews>
  <sheets>
    <sheet name="от 01.07 (2)" sheetId="10" r:id="rId1"/>
    <sheet name="от 01.07" sheetId="9" r:id="rId2"/>
    <sheet name="Лист4" sheetId="8" r:id="rId3"/>
  </sheets>
  <definedNames>
    <definedName name="_xlnm.Print_Titles" localSheetId="2">Лист4!$17:$19</definedName>
    <definedName name="_xlnm.Print_Titles" localSheetId="1">'от 01.07'!$17:$19</definedName>
    <definedName name="_xlnm.Print_Titles" localSheetId="0">'от 01.07 (2)'!$20:$22</definedName>
    <definedName name="_xlnm.Print_Area" localSheetId="0">'от 01.07 (2)'!$A$1:$DE$346</definedName>
  </definedNames>
  <calcPr calcId="124519"/>
</workbook>
</file>

<file path=xl/calcChain.xml><?xml version="1.0" encoding="utf-8"?>
<calcChain xmlns="http://schemas.openxmlformats.org/spreadsheetml/2006/main">
  <c r="DE34" i="10"/>
  <c r="DE33"/>
  <c r="DD59"/>
  <c r="DC298"/>
  <c r="DC265"/>
  <c r="DC241"/>
  <c r="DC240"/>
  <c r="DC237"/>
  <c r="DC236" s="1"/>
  <c r="DC235"/>
  <c r="DC175"/>
  <c r="DC174"/>
  <c r="DC171"/>
  <c r="DC170" s="1"/>
  <c r="DC146"/>
  <c r="DC141"/>
  <c r="DC140"/>
  <c r="DC137"/>
  <c r="DC136" s="1"/>
  <c r="DC168" s="1"/>
  <c r="DC109"/>
  <c r="DC94"/>
  <c r="DC76"/>
  <c r="DC61"/>
  <c r="DC59"/>
  <c r="DC55" s="1"/>
  <c r="DC58"/>
  <c r="DC42"/>
  <c r="DC34"/>
  <c r="DC33"/>
  <c r="DC31" s="1"/>
  <c r="DC23"/>
  <c r="DC332" l="1"/>
  <c r="DC333" s="1"/>
  <c r="DC342" s="1"/>
  <c r="DC169"/>
  <c r="DC335"/>
  <c r="DC334" l="1"/>
  <c r="DC337" s="1"/>
  <c r="DC338" s="1"/>
  <c r="DE241" l="1"/>
  <c r="DE175"/>
  <c r="DE141"/>
  <c r="DE59"/>
  <c r="D70" l="1"/>
  <c r="E70"/>
  <c r="F70"/>
  <c r="BY70" s="1"/>
  <c r="G70"/>
  <c r="H70"/>
  <c r="AZ70" s="1"/>
  <c r="I70"/>
  <c r="J70"/>
  <c r="K70"/>
  <c r="M70"/>
  <c r="BZ70" s="1"/>
  <c r="N70"/>
  <c r="O70"/>
  <c r="Q70"/>
  <c r="S70"/>
  <c r="T70"/>
  <c r="U70"/>
  <c r="Z70"/>
  <c r="AA70"/>
  <c r="AB70"/>
  <c r="AC70"/>
  <c r="AD70"/>
  <c r="AE70"/>
  <c r="AF70"/>
  <c r="AG70"/>
  <c r="AL70"/>
  <c r="AM70"/>
  <c r="AN70"/>
  <c r="AO70"/>
  <c r="AP70"/>
  <c r="AQ70"/>
  <c r="AR70"/>
  <c r="AS70"/>
  <c r="AX70"/>
  <c r="AY70"/>
  <c r="BA70"/>
  <c r="BC70"/>
  <c r="BD70"/>
  <c r="BE70"/>
  <c r="BF70"/>
  <c r="BG70"/>
  <c r="CD70"/>
  <c r="CE70"/>
  <c r="DA70"/>
  <c r="DB70"/>
  <c r="CB70" l="1"/>
  <c r="BJ70"/>
  <c r="CA70"/>
  <c r="CC70"/>
  <c r="BY341" l="1"/>
  <c r="DD340"/>
  <c r="BZ340"/>
  <c r="D340"/>
  <c r="BL337"/>
  <c r="BL342" s="1"/>
  <c r="O337"/>
  <c r="BZ336"/>
  <c r="CC336" s="1"/>
  <c r="BY336"/>
  <c r="BH336"/>
  <c r="BZ335"/>
  <c r="CD335" s="1"/>
  <c r="BY335"/>
  <c r="AX335"/>
  <c r="BZ334"/>
  <c r="Y332"/>
  <c r="X332"/>
  <c r="BI331"/>
  <c r="BZ330"/>
  <c r="CC330" s="1"/>
  <c r="BJ330"/>
  <c r="BI330"/>
  <c r="BM329"/>
  <c r="BJ329"/>
  <c r="BI329"/>
  <c r="AM329"/>
  <c r="AA329"/>
  <c r="M329"/>
  <c r="BZ328"/>
  <c r="CC328" s="1"/>
  <c r="BA328"/>
  <c r="BJ328" s="1"/>
  <c r="BM327"/>
  <c r="BI327"/>
  <c r="BA327"/>
  <c r="BJ327" s="1"/>
  <c r="AO327"/>
  <c r="AM327"/>
  <c r="AC327"/>
  <c r="AA327"/>
  <c r="O327"/>
  <c r="M327"/>
  <c r="BZ326"/>
  <c r="CC326" s="1"/>
  <c r="BJ326"/>
  <c r="BI326"/>
  <c r="BI325"/>
  <c r="BM324"/>
  <c r="BJ324"/>
  <c r="AO324"/>
  <c r="AM324"/>
  <c r="AC324"/>
  <c r="AA324"/>
  <c r="O324"/>
  <c r="M324"/>
  <c r="BI323"/>
  <c r="BI322"/>
  <c r="BI321"/>
  <c r="BI320"/>
  <c r="BZ318"/>
  <c r="CC318" s="1"/>
  <c r="BJ318"/>
  <c r="BI318"/>
  <c r="BI317"/>
  <c r="BI316"/>
  <c r="BI314"/>
  <c r="BI313"/>
  <c r="BZ311"/>
  <c r="CC311" s="1"/>
  <c r="BJ311"/>
  <c r="BM310"/>
  <c r="BJ310"/>
  <c r="AO310"/>
  <c r="AM310"/>
  <c r="AC310"/>
  <c r="AA310"/>
  <c r="O310"/>
  <c r="M310"/>
  <c r="BZ309"/>
  <c r="CC309" s="1"/>
  <c r="BA309"/>
  <c r="BJ309" s="1"/>
  <c r="Y309"/>
  <c r="X309"/>
  <c r="DB308"/>
  <c r="DB298" s="1"/>
  <c r="DA308"/>
  <c r="BM308"/>
  <c r="BD308"/>
  <c r="BD298" s="1"/>
  <c r="BC308"/>
  <c r="BC298" s="1"/>
  <c r="BB308"/>
  <c r="BB298" s="1"/>
  <c r="AZ308"/>
  <c r="AZ298" s="1"/>
  <c r="AY308"/>
  <c r="AX308"/>
  <c r="AX298" s="1"/>
  <c r="AS308"/>
  <c r="AS298" s="1"/>
  <c r="AR308"/>
  <c r="AR298" s="1"/>
  <c r="AQ308"/>
  <c r="AQ298" s="1"/>
  <c r="AP308"/>
  <c r="AP298" s="1"/>
  <c r="AO308"/>
  <c r="AN308"/>
  <c r="AN298" s="1"/>
  <c r="AM308"/>
  <c r="AL308"/>
  <c r="AG308"/>
  <c r="AG298" s="1"/>
  <c r="AF308"/>
  <c r="AF298" s="1"/>
  <c r="AE308"/>
  <c r="AE298" s="1"/>
  <c r="AD308"/>
  <c r="AD298" s="1"/>
  <c r="AC308"/>
  <c r="AB308"/>
  <c r="AB298" s="1"/>
  <c r="AA308"/>
  <c r="Z308"/>
  <c r="Z298" s="1"/>
  <c r="U308"/>
  <c r="U298" s="1"/>
  <c r="T308"/>
  <c r="T298" s="1"/>
  <c r="S308"/>
  <c r="S298" s="1"/>
  <c r="R308"/>
  <c r="O308"/>
  <c r="N308"/>
  <c r="N298" s="1"/>
  <c r="M308"/>
  <c r="L308"/>
  <c r="L298" s="1"/>
  <c r="K308"/>
  <c r="K298" s="1"/>
  <c r="J308"/>
  <c r="J298" s="1"/>
  <c r="I308"/>
  <c r="I298" s="1"/>
  <c r="H308"/>
  <c r="H298" s="1"/>
  <c r="BI307"/>
  <c r="BI304" s="1"/>
  <c r="BI306"/>
  <c r="BI305"/>
  <c r="BI303"/>
  <c r="BI302"/>
  <c r="BI300"/>
  <c r="BI299" s="1"/>
  <c r="DG298"/>
  <c r="DF298"/>
  <c r="DE298"/>
  <c r="DD298"/>
  <c r="DA298"/>
  <c r="CE298"/>
  <c r="CD298"/>
  <c r="BH298"/>
  <c r="BG298"/>
  <c r="BF298"/>
  <c r="BE298"/>
  <c r="AL298"/>
  <c r="G298"/>
  <c r="F298"/>
  <c r="BY298" s="1"/>
  <c r="E298"/>
  <c r="D298"/>
  <c r="BZ297"/>
  <c r="CC297" s="1"/>
  <c r="BJ297"/>
  <c r="BZ296"/>
  <c r="BJ296"/>
  <c r="BH296"/>
  <c r="BH295" s="1"/>
  <c r="CF295"/>
  <c r="BM295"/>
  <c r="BJ295"/>
  <c r="AU295"/>
  <c r="AM295"/>
  <c r="AI295"/>
  <c r="AA295"/>
  <c r="W295"/>
  <c r="M295"/>
  <c r="BZ294"/>
  <c r="BJ294"/>
  <c r="BH294"/>
  <c r="BH293" s="1"/>
  <c r="CF293"/>
  <c r="BM293"/>
  <c r="BJ293"/>
  <c r="BZ292"/>
  <c r="BJ292"/>
  <c r="BH292"/>
  <c r="BH291" s="1"/>
  <c r="CF291"/>
  <c r="BM291"/>
  <c r="BJ291"/>
  <c r="BZ290"/>
  <c r="CC290" s="1"/>
  <c r="BJ290"/>
  <c r="BZ289"/>
  <c r="CC289" s="1"/>
  <c r="BJ289"/>
  <c r="BZ288"/>
  <c r="CC288" s="1"/>
  <c r="BJ288"/>
  <c r="BF287"/>
  <c r="BF276" s="1"/>
  <c r="BH285"/>
  <c r="BZ284"/>
  <c r="CC284" s="1"/>
  <c r="BJ284"/>
  <c r="BH284"/>
  <c r="BZ283"/>
  <c r="CC283" s="1"/>
  <c r="BJ283"/>
  <c r="BZ282"/>
  <c r="CC282" s="1"/>
  <c r="BJ282"/>
  <c r="BH282"/>
  <c r="BZ280"/>
  <c r="CC280" s="1"/>
  <c r="BJ280"/>
  <c r="BH278"/>
  <c r="BZ277"/>
  <c r="BJ277"/>
  <c r="BH277"/>
  <c r="CF276"/>
  <c r="BM276"/>
  <c r="BJ276"/>
  <c r="AU276"/>
  <c r="AM276"/>
  <c r="AI276"/>
  <c r="AA276"/>
  <c r="W276"/>
  <c r="M276"/>
  <c r="BH274"/>
  <c r="BH273" s="1"/>
  <c r="BZ272"/>
  <c r="BJ272"/>
  <c r="BF272"/>
  <c r="BH272" s="1"/>
  <c r="BM271"/>
  <c r="BM234" s="1"/>
  <c r="BM230" s="1"/>
  <c r="BJ271"/>
  <c r="AM271"/>
  <c r="AM234" s="1"/>
  <c r="AM230" s="1"/>
  <c r="AA271"/>
  <c r="AA234" s="1"/>
  <c r="AA230" s="1"/>
  <c r="M271"/>
  <c r="M234" s="1"/>
  <c r="BJ270"/>
  <c r="BZ269"/>
  <c r="CC269" s="1"/>
  <c r="BJ269"/>
  <c r="BH269"/>
  <c r="CE268"/>
  <c r="BM268"/>
  <c r="BJ268"/>
  <c r="AU268"/>
  <c r="AM268"/>
  <c r="AI268"/>
  <c r="AA268"/>
  <c r="W268"/>
  <c r="M268"/>
  <c r="BZ267"/>
  <c r="BJ267"/>
  <c r="BH267"/>
  <c r="CF266"/>
  <c r="BM266"/>
  <c r="BJ266"/>
  <c r="BH266"/>
  <c r="AU266"/>
  <c r="AM266"/>
  <c r="AI266"/>
  <c r="AA266"/>
  <c r="W266"/>
  <c r="M266"/>
  <c r="DG265"/>
  <c r="DF265"/>
  <c r="DE265"/>
  <c r="DD265"/>
  <c r="DB265"/>
  <c r="DA265"/>
  <c r="AY265"/>
  <c r="G265"/>
  <c r="F265"/>
  <c r="E265"/>
  <c r="D265"/>
  <c r="DG264"/>
  <c r="DG263"/>
  <c r="DG262"/>
  <c r="AY262"/>
  <c r="AY257" s="1"/>
  <c r="DG258"/>
  <c r="DB257"/>
  <c r="CE257"/>
  <c r="CE251" s="1"/>
  <c r="CE247" s="1"/>
  <c r="CD257"/>
  <c r="CD251" s="1"/>
  <c r="CD247" s="1"/>
  <c r="BX257"/>
  <c r="BM257"/>
  <c r="BM251" s="1"/>
  <c r="BM247" s="1"/>
  <c r="BG257"/>
  <c r="BF257"/>
  <c r="BE257"/>
  <c r="BD257"/>
  <c r="BC257"/>
  <c r="BB257"/>
  <c r="BA257"/>
  <c r="AZ257"/>
  <c r="AZ251" s="1"/>
  <c r="AS257"/>
  <c r="AS251" s="1"/>
  <c r="AS247" s="1"/>
  <c r="AR257"/>
  <c r="AQ257"/>
  <c r="AQ251" s="1"/>
  <c r="AQ247" s="1"/>
  <c r="AP257"/>
  <c r="AP251" s="1"/>
  <c r="AP247" s="1"/>
  <c r="AO257"/>
  <c r="AN257"/>
  <c r="AN251" s="1"/>
  <c r="AN247" s="1"/>
  <c r="AM257"/>
  <c r="AM251" s="1"/>
  <c r="AM247" s="1"/>
  <c r="AL257"/>
  <c r="AL251" s="1"/>
  <c r="AL247" s="1"/>
  <c r="AG257"/>
  <c r="AG251" s="1"/>
  <c r="AG247" s="1"/>
  <c r="AF257"/>
  <c r="AF251" s="1"/>
  <c r="AF247" s="1"/>
  <c r="AE257"/>
  <c r="AE251" s="1"/>
  <c r="AE247" s="1"/>
  <c r="AD257"/>
  <c r="AD251" s="1"/>
  <c r="AD247" s="1"/>
  <c r="AC257"/>
  <c r="AB257"/>
  <c r="AB251" s="1"/>
  <c r="AB247" s="1"/>
  <c r="AA257"/>
  <c r="AA251" s="1"/>
  <c r="AA247" s="1"/>
  <c r="Z257"/>
  <c r="Z251" s="1"/>
  <c r="Z247" s="1"/>
  <c r="U257"/>
  <c r="U251" s="1"/>
  <c r="U247" s="1"/>
  <c r="T257"/>
  <c r="T251" s="1"/>
  <c r="T247" s="1"/>
  <c r="S257"/>
  <c r="S251" s="1"/>
  <c r="S247" s="1"/>
  <c r="O257"/>
  <c r="O251" s="1"/>
  <c r="O247" s="1"/>
  <c r="N257"/>
  <c r="N251" s="1"/>
  <c r="N247" s="1"/>
  <c r="M257"/>
  <c r="M251" s="1"/>
  <c r="L257"/>
  <c r="L251" s="1"/>
  <c r="L247" s="1"/>
  <c r="K257"/>
  <c r="K251" s="1"/>
  <c r="K247" s="1"/>
  <c r="J257"/>
  <c r="J251" s="1"/>
  <c r="J247" s="1"/>
  <c r="I257"/>
  <c r="I251" s="1"/>
  <c r="I247" s="1"/>
  <c r="H257"/>
  <c r="H251" s="1"/>
  <c r="H247" s="1"/>
  <c r="G257"/>
  <c r="AX257" s="1"/>
  <c r="F257"/>
  <c r="BY257" s="1"/>
  <c r="E257"/>
  <c r="D257"/>
  <c r="DF256"/>
  <c r="DG256" s="1"/>
  <c r="DF255"/>
  <c r="DG255" s="1"/>
  <c r="DF254"/>
  <c r="DG254" s="1"/>
  <c r="DF253"/>
  <c r="DG253" s="1"/>
  <c r="DF252"/>
  <c r="DG252" s="1"/>
  <c r="DF251"/>
  <c r="DG251" s="1"/>
  <c r="DB251"/>
  <c r="BX251"/>
  <c r="BG251"/>
  <c r="BF251"/>
  <c r="BE251"/>
  <c r="BD251"/>
  <c r="BC251"/>
  <c r="BB251"/>
  <c r="BA251"/>
  <c r="AY251"/>
  <c r="AR251"/>
  <c r="AR247" s="1"/>
  <c r="G251"/>
  <c r="AX251" s="1"/>
  <c r="F251"/>
  <c r="BY251" s="1"/>
  <c r="E251"/>
  <c r="D251"/>
  <c r="DF250"/>
  <c r="DG250" s="1"/>
  <c r="DF249"/>
  <c r="DG249" s="1"/>
  <c r="DF248"/>
  <c r="DG248" s="1"/>
  <c r="DF247"/>
  <c r="DB247"/>
  <c r="BX247"/>
  <c r="BG247"/>
  <c r="BF247"/>
  <c r="BE247"/>
  <c r="BD247"/>
  <c r="BC247"/>
  <c r="BB247"/>
  <c r="BA247"/>
  <c r="AY247"/>
  <c r="G247"/>
  <c r="AX247" s="1"/>
  <c r="F247"/>
  <c r="BY247" s="1"/>
  <c r="E247"/>
  <c r="D247"/>
  <c r="DF246"/>
  <c r="DG246" s="1"/>
  <c r="DB246"/>
  <c r="DB242" s="1"/>
  <c r="DA246"/>
  <c r="DF243"/>
  <c r="DG243" s="1"/>
  <c r="DA242"/>
  <c r="BG242"/>
  <c r="BF242"/>
  <c r="BE242"/>
  <c r="BD242"/>
  <c r="BC242"/>
  <c r="BB242"/>
  <c r="BA242"/>
  <c r="AY242"/>
  <c r="G242"/>
  <c r="F242"/>
  <c r="E242"/>
  <c r="D242"/>
  <c r="DE237"/>
  <c r="DE236" s="1"/>
  <c r="DB241"/>
  <c r="DA241"/>
  <c r="DA237" s="1"/>
  <c r="BG241"/>
  <c r="BG237" s="1"/>
  <c r="BD241"/>
  <c r="BD237" s="1"/>
  <c r="BB241"/>
  <c r="BB237" s="1"/>
  <c r="DE240"/>
  <c r="DD240"/>
  <c r="DB240"/>
  <c r="DA240"/>
  <c r="G240"/>
  <c r="F240"/>
  <c r="E240"/>
  <c r="D240"/>
  <c r="DF238"/>
  <c r="DF241" s="1"/>
  <c r="AY238"/>
  <c r="DF237"/>
  <c r="DD237"/>
  <c r="DD236" s="1"/>
  <c r="DB237"/>
  <c r="CE237"/>
  <c r="CD237"/>
  <c r="BX237"/>
  <c r="BM237"/>
  <c r="BF237"/>
  <c r="BE237"/>
  <c r="BC237"/>
  <c r="BA237"/>
  <c r="AZ237"/>
  <c r="AS237"/>
  <c r="AR237"/>
  <c r="AQ237"/>
  <c r="AP237"/>
  <c r="AO237"/>
  <c r="AN237"/>
  <c r="AM237"/>
  <c r="AL237"/>
  <c r="AG237"/>
  <c r="AF237"/>
  <c r="AE237"/>
  <c r="AD237"/>
  <c r="AC237"/>
  <c r="AB237"/>
  <c r="AA237"/>
  <c r="Z237"/>
  <c r="U237"/>
  <c r="T237"/>
  <c r="S237"/>
  <c r="O237"/>
  <c r="N237"/>
  <c r="M237"/>
  <c r="L237"/>
  <c r="K237"/>
  <c r="J237"/>
  <c r="I237"/>
  <c r="H237"/>
  <c r="G237"/>
  <c r="AX237" s="1"/>
  <c r="F237"/>
  <c r="BY237" s="1"/>
  <c r="E237"/>
  <c r="D237"/>
  <c r="D236" s="1"/>
  <c r="DE235"/>
  <c r="DF235" s="1"/>
  <c r="DG235" s="1"/>
  <c r="BZ235"/>
  <c r="CC235" s="1"/>
  <c r="BJ235"/>
  <c r="DB234"/>
  <c r="DA234"/>
  <c r="CE234"/>
  <c r="CE230" s="1"/>
  <c r="CD234"/>
  <c r="CD230" s="1"/>
  <c r="BY234"/>
  <c r="BX234"/>
  <c r="BG234"/>
  <c r="BF234"/>
  <c r="BE234"/>
  <c r="BD234"/>
  <c r="BC234"/>
  <c r="BB234"/>
  <c r="BA234"/>
  <c r="AZ234"/>
  <c r="AZ230" s="1"/>
  <c r="AX234"/>
  <c r="AS234"/>
  <c r="AR234"/>
  <c r="AR230" s="1"/>
  <c r="AQ234"/>
  <c r="AQ230" s="1"/>
  <c r="AP234"/>
  <c r="AP230" s="1"/>
  <c r="AO234"/>
  <c r="AN234"/>
  <c r="AN230" s="1"/>
  <c r="AL234"/>
  <c r="AL230" s="1"/>
  <c r="AG234"/>
  <c r="AG230" s="1"/>
  <c r="AF234"/>
  <c r="AE234"/>
  <c r="AE230" s="1"/>
  <c r="AD234"/>
  <c r="AD230" s="1"/>
  <c r="AC234"/>
  <c r="AC230" s="1"/>
  <c r="AB234"/>
  <c r="Z234"/>
  <c r="Z230" s="1"/>
  <c r="U234"/>
  <c r="U230" s="1"/>
  <c r="T234"/>
  <c r="S234"/>
  <c r="S230" s="1"/>
  <c r="O234"/>
  <c r="O230" s="1"/>
  <c r="N234"/>
  <c r="N230" s="1"/>
  <c r="L234"/>
  <c r="L230" s="1"/>
  <c r="K234"/>
  <c r="K230" s="1"/>
  <c r="J234"/>
  <c r="J230" s="1"/>
  <c r="I234"/>
  <c r="I230" s="1"/>
  <c r="H234"/>
  <c r="H230" s="1"/>
  <c r="E234"/>
  <c r="D234"/>
  <c r="DF233"/>
  <c r="DG233" s="1"/>
  <c r="DF232"/>
  <c r="DG232" s="1"/>
  <c r="DF231"/>
  <c r="DG231" s="1"/>
  <c r="DF230"/>
  <c r="DG230" s="1"/>
  <c r="BY230"/>
  <c r="BX230"/>
  <c r="BG230"/>
  <c r="BF230"/>
  <c r="BE230"/>
  <c r="BD230"/>
  <c r="BC230"/>
  <c r="BB230"/>
  <c r="BA230"/>
  <c r="AY230"/>
  <c r="AX230"/>
  <c r="AS230"/>
  <c r="AO230"/>
  <c r="AF230"/>
  <c r="AB230"/>
  <c r="T230"/>
  <c r="DF229"/>
  <c r="DG229" s="1"/>
  <c r="DF228"/>
  <c r="DG228" s="1"/>
  <c r="DF227"/>
  <c r="DG227" s="1"/>
  <c r="DF226"/>
  <c r="DG226" s="1"/>
  <c r="DF225"/>
  <c r="DG225" s="1"/>
  <c r="DF224"/>
  <c r="DG224" s="1"/>
  <c r="BZ224"/>
  <c r="CC224" s="1"/>
  <c r="BK224"/>
  <c r="BJ224"/>
  <c r="AX224"/>
  <c r="AW224"/>
  <c r="AV224"/>
  <c r="AK224"/>
  <c r="AJ224"/>
  <c r="N224"/>
  <c r="Y224" s="1"/>
  <c r="L224"/>
  <c r="DF223"/>
  <c r="DG223" s="1"/>
  <c r="DF222"/>
  <c r="DG222" s="1"/>
  <c r="BZ222"/>
  <c r="CC222" s="1"/>
  <c r="BK222"/>
  <c r="BJ222"/>
  <c r="AY222"/>
  <c r="AX222"/>
  <c r="AW222"/>
  <c r="AV222"/>
  <c r="AK222"/>
  <c r="AJ222"/>
  <c r="N222"/>
  <c r="Y222" s="1"/>
  <c r="L222"/>
  <c r="DF221"/>
  <c r="DG221" s="1"/>
  <c r="DF220"/>
  <c r="DG220" s="1"/>
  <c r="BZ220"/>
  <c r="CC220" s="1"/>
  <c r="BJ220"/>
  <c r="DF219"/>
  <c r="DG219" s="1"/>
  <c r="BZ219"/>
  <c r="CC219" s="1"/>
  <c r="BJ219"/>
  <c r="DF218"/>
  <c r="DG218" s="1"/>
  <c r="DF217"/>
  <c r="DG217" s="1"/>
  <c r="DF216"/>
  <c r="DG216" s="1"/>
  <c r="BG216"/>
  <c r="DF215"/>
  <c r="DG215" s="1"/>
  <c r="DF214"/>
  <c r="DG214" s="1"/>
  <c r="BK214"/>
  <c r="BJ214"/>
  <c r="AX214"/>
  <c r="AW214"/>
  <c r="AV214"/>
  <c r="AK214"/>
  <c r="AJ214"/>
  <c r="N214"/>
  <c r="Y214" s="1"/>
  <c r="L214"/>
  <c r="DF213"/>
  <c r="DG213" s="1"/>
  <c r="BZ213"/>
  <c r="CC213" s="1"/>
  <c r="BK213"/>
  <c r="BJ213"/>
  <c r="AX213"/>
  <c r="AW213"/>
  <c r="AV213"/>
  <c r="AK213"/>
  <c r="AJ213"/>
  <c r="N213"/>
  <c r="X213" s="1"/>
  <c r="L213"/>
  <c r="DF212"/>
  <c r="DG212" s="1"/>
  <c r="BZ212"/>
  <c r="CC212" s="1"/>
  <c r="BJ212"/>
  <c r="DF211"/>
  <c r="DG211" s="1"/>
  <c r="DF210"/>
  <c r="DG210" s="1"/>
  <c r="DF209"/>
  <c r="DG209" s="1"/>
  <c r="BK209"/>
  <c r="BJ209"/>
  <c r="AX209"/>
  <c r="AW209"/>
  <c r="AV209"/>
  <c r="AK209"/>
  <c r="AJ209"/>
  <c r="N209"/>
  <c r="X209" s="1"/>
  <c r="L209"/>
  <c r="DF208"/>
  <c r="DG208" s="1"/>
  <c r="BJ208"/>
  <c r="DF207"/>
  <c r="DG207" s="1"/>
  <c r="BZ207"/>
  <c r="CC207" s="1"/>
  <c r="BJ207"/>
  <c r="DF206"/>
  <c r="DG206" s="1"/>
  <c r="DF205"/>
  <c r="DG205" s="1"/>
  <c r="DF204"/>
  <c r="DG204" s="1"/>
  <c r="BZ204"/>
  <c r="CC204" s="1"/>
  <c r="BK204"/>
  <c r="BJ204"/>
  <c r="AX204"/>
  <c r="AW204"/>
  <c r="AV204"/>
  <c r="AK204"/>
  <c r="AJ204"/>
  <c r="N204"/>
  <c r="Y204" s="1"/>
  <c r="L204"/>
  <c r="DF203"/>
  <c r="DG203" s="1"/>
  <c r="DF202"/>
  <c r="DG202" s="1"/>
  <c r="DF201"/>
  <c r="DG201" s="1"/>
  <c r="BZ201"/>
  <c r="CC201" s="1"/>
  <c r="BK201"/>
  <c r="BJ201"/>
  <c r="AX201"/>
  <c r="AW201"/>
  <c r="AV201"/>
  <c r="AK201"/>
  <c r="AJ201"/>
  <c r="N201"/>
  <c r="X201" s="1"/>
  <c r="L201"/>
  <c r="DF200"/>
  <c r="DG200" s="1"/>
  <c r="DF199"/>
  <c r="BZ199"/>
  <c r="CC199" s="1"/>
  <c r="BJ199"/>
  <c r="DF198"/>
  <c r="DG198" s="1"/>
  <c r="DF197"/>
  <c r="DG197" s="1"/>
  <c r="DF196"/>
  <c r="DG196" s="1"/>
  <c r="DF195"/>
  <c r="DG195" s="1"/>
  <c r="DF194"/>
  <c r="DG194" s="1"/>
  <c r="DF193"/>
  <c r="DG193" s="1"/>
  <c r="DF192"/>
  <c r="DF191"/>
  <c r="BZ191"/>
  <c r="CC191" s="1"/>
  <c r="BJ191"/>
  <c r="DF190"/>
  <c r="BG190"/>
  <c r="DF189"/>
  <c r="DF188"/>
  <c r="DF187"/>
  <c r="DF186"/>
  <c r="DF185"/>
  <c r="BJ185"/>
  <c r="DF184"/>
  <c r="DG184" s="1"/>
  <c r="BZ184"/>
  <c r="CC184" s="1"/>
  <c r="BJ184"/>
  <c r="DF183"/>
  <c r="DG183" s="1"/>
  <c r="BZ183"/>
  <c r="CC183" s="1"/>
  <c r="BK183"/>
  <c r="BJ183"/>
  <c r="AX183"/>
  <c r="AW183"/>
  <c r="AV183"/>
  <c r="AK183"/>
  <c r="AJ183"/>
  <c r="N183"/>
  <c r="Y183" s="1"/>
  <c r="L183"/>
  <c r="DF182"/>
  <c r="DG182" s="1"/>
  <c r="BZ182"/>
  <c r="CC182" s="1"/>
  <c r="BJ182"/>
  <c r="BG182"/>
  <c r="DF181"/>
  <c r="DG181" s="1"/>
  <c r="BZ181"/>
  <c r="CC181" s="1"/>
  <c r="BJ181"/>
  <c r="AY181"/>
  <c r="AY180" s="1"/>
  <c r="G181"/>
  <c r="F181"/>
  <c r="F180" s="1"/>
  <c r="BY180" s="1"/>
  <c r="DF180"/>
  <c r="DG180" s="1"/>
  <c r="DB180"/>
  <c r="CE180"/>
  <c r="CD180"/>
  <c r="BX180"/>
  <c r="BM180"/>
  <c r="BF180"/>
  <c r="BE180"/>
  <c r="BD180"/>
  <c r="BC180"/>
  <c r="BB180"/>
  <c r="BA180"/>
  <c r="AZ180"/>
  <c r="AS180"/>
  <c r="AR180"/>
  <c r="AQ180"/>
  <c r="AP180"/>
  <c r="AO180"/>
  <c r="AN180"/>
  <c r="AM180"/>
  <c r="AL180"/>
  <c r="AG180"/>
  <c r="AF180"/>
  <c r="AE180"/>
  <c r="AD180"/>
  <c r="AC180"/>
  <c r="AB180"/>
  <c r="AA180"/>
  <c r="Z180"/>
  <c r="U180"/>
  <c r="T180"/>
  <c r="S180"/>
  <c r="O180"/>
  <c r="N180"/>
  <c r="M180"/>
  <c r="L180"/>
  <c r="K180"/>
  <c r="J180"/>
  <c r="I180"/>
  <c r="H180"/>
  <c r="G180"/>
  <c r="AX180" s="1"/>
  <c r="E180"/>
  <c r="D180"/>
  <c r="BZ179"/>
  <c r="CC179" s="1"/>
  <c r="BJ179"/>
  <c r="AY179"/>
  <c r="AY178"/>
  <c r="BZ177"/>
  <c r="CC177" s="1"/>
  <c r="BJ177"/>
  <c r="AY177"/>
  <c r="CE176"/>
  <c r="CD176"/>
  <c r="BX176"/>
  <c r="BM176"/>
  <c r="BG176"/>
  <c r="BF176"/>
  <c r="BE176"/>
  <c r="BD176"/>
  <c r="BC176"/>
  <c r="BB176"/>
  <c r="BA176"/>
  <c r="AZ176"/>
  <c r="AS176"/>
  <c r="AR176"/>
  <c r="AQ176"/>
  <c r="AP176"/>
  <c r="AO176"/>
  <c r="AN176"/>
  <c r="AM176"/>
  <c r="AL176"/>
  <c r="AG176"/>
  <c r="AF176"/>
  <c r="AE176"/>
  <c r="AD176"/>
  <c r="AC176"/>
  <c r="AB176"/>
  <c r="AA176"/>
  <c r="Z176"/>
  <c r="U176"/>
  <c r="T176"/>
  <c r="S176"/>
  <c r="O176"/>
  <c r="N176"/>
  <c r="M176"/>
  <c r="BZ176" s="1"/>
  <c r="L176"/>
  <c r="K176"/>
  <c r="J176"/>
  <c r="I176"/>
  <c r="H176"/>
  <c r="G176"/>
  <c r="AX176" s="1"/>
  <c r="F176"/>
  <c r="BY176" s="1"/>
  <c r="E176"/>
  <c r="D176"/>
  <c r="DG175"/>
  <c r="DG171" s="1"/>
  <c r="DE171"/>
  <c r="DE170" s="1"/>
  <c r="DB175"/>
  <c r="DB171" s="1"/>
  <c r="DA175"/>
  <c r="DA171" s="1"/>
  <c r="DA170" s="1"/>
  <c r="BZ175"/>
  <c r="BY175"/>
  <c r="BK175"/>
  <c r="BJ175"/>
  <c r="BG175"/>
  <c r="BG171" s="1"/>
  <c r="BF175"/>
  <c r="BF171" s="1"/>
  <c r="BD175"/>
  <c r="BD171" s="1"/>
  <c r="BD170" s="1"/>
  <c r="BB175"/>
  <c r="BB171" s="1"/>
  <c r="AX175"/>
  <c r="AW175"/>
  <c r="AV175"/>
  <c r="AK175"/>
  <c r="AJ175"/>
  <c r="T175"/>
  <c r="R175"/>
  <c r="N175"/>
  <c r="Y175" s="1"/>
  <c r="L175"/>
  <c r="DG174"/>
  <c r="DE174"/>
  <c r="DD174"/>
  <c r="DB174"/>
  <c r="DA174"/>
  <c r="AZ174"/>
  <c r="BJ174" s="1"/>
  <c r="AY174"/>
  <c r="AS174"/>
  <c r="AR174"/>
  <c r="AQ174"/>
  <c r="AP174"/>
  <c r="AO174"/>
  <c r="AN174"/>
  <c r="AM174"/>
  <c r="AL174"/>
  <c r="AG174"/>
  <c r="AF174"/>
  <c r="AE174"/>
  <c r="AD174"/>
  <c r="AC174"/>
  <c r="AB174"/>
  <c r="AA174"/>
  <c r="Z174"/>
  <c r="U174"/>
  <c r="S174"/>
  <c r="R174"/>
  <c r="O174"/>
  <c r="M174"/>
  <c r="K174"/>
  <c r="J174"/>
  <c r="I174"/>
  <c r="H174"/>
  <c r="G174"/>
  <c r="F174"/>
  <c r="E174"/>
  <c r="D174"/>
  <c r="BZ173"/>
  <c r="BY173"/>
  <c r="BK173"/>
  <c r="BJ173"/>
  <c r="AW173"/>
  <c r="AV173"/>
  <c r="AK173"/>
  <c r="AJ173"/>
  <c r="Y173"/>
  <c r="X173"/>
  <c r="DF172"/>
  <c r="DF174" s="1"/>
  <c r="BZ172"/>
  <c r="CD172" s="1"/>
  <c r="BY172"/>
  <c r="BK172"/>
  <c r="BJ172"/>
  <c r="AX172"/>
  <c r="AX174" s="1"/>
  <c r="AW172"/>
  <c r="AV172"/>
  <c r="AK172"/>
  <c r="AJ172"/>
  <c r="T172"/>
  <c r="T174" s="1"/>
  <c r="N172"/>
  <c r="X172" s="1"/>
  <c r="L172"/>
  <c r="L174" s="1"/>
  <c r="DD171"/>
  <c r="DD170" s="1"/>
  <c r="CE171"/>
  <c r="BX171"/>
  <c r="BM171"/>
  <c r="BE171"/>
  <c r="BC171"/>
  <c r="BA171"/>
  <c r="AZ171"/>
  <c r="AY171"/>
  <c r="AS171"/>
  <c r="AS169" s="1"/>
  <c r="AR171"/>
  <c r="AR169" s="1"/>
  <c r="AQ171"/>
  <c r="AQ169" s="1"/>
  <c r="AP171"/>
  <c r="AP169" s="1"/>
  <c r="AO171"/>
  <c r="AN171"/>
  <c r="AN169" s="1"/>
  <c r="AM171"/>
  <c r="AM169" s="1"/>
  <c r="AL171"/>
  <c r="AL169" s="1"/>
  <c r="AG171"/>
  <c r="AG169" s="1"/>
  <c r="AF171"/>
  <c r="AF169" s="1"/>
  <c r="AE171"/>
  <c r="AE169" s="1"/>
  <c r="AD171"/>
  <c r="AD169" s="1"/>
  <c r="AC171"/>
  <c r="AC169" s="1"/>
  <c r="AB171"/>
  <c r="AB169" s="1"/>
  <c r="AA171"/>
  <c r="AA169" s="1"/>
  <c r="Z171"/>
  <c r="Z169" s="1"/>
  <c r="U171"/>
  <c r="U169" s="1"/>
  <c r="S171"/>
  <c r="O171"/>
  <c r="M171"/>
  <c r="K171"/>
  <c r="K169" s="1"/>
  <c r="J171"/>
  <c r="J169" s="1"/>
  <c r="I171"/>
  <c r="I169" s="1"/>
  <c r="H171"/>
  <c r="H169" s="1"/>
  <c r="G171"/>
  <c r="F171"/>
  <c r="BY171" s="1"/>
  <c r="E171"/>
  <c r="D171"/>
  <c r="Y169"/>
  <c r="X169"/>
  <c r="BZ167"/>
  <c r="CC167" s="1"/>
  <c r="BJ167"/>
  <c r="AX167"/>
  <c r="R167"/>
  <c r="L167"/>
  <c r="I167"/>
  <c r="BZ160"/>
  <c r="CC160" s="1"/>
  <c r="BJ160"/>
  <c r="AY160"/>
  <c r="BZ158"/>
  <c r="CC158" s="1"/>
  <c r="BJ158"/>
  <c r="AY158"/>
  <c r="AX158"/>
  <c r="R158"/>
  <c r="L158"/>
  <c r="K158"/>
  <c r="T158" s="1"/>
  <c r="BZ149"/>
  <c r="CC149" s="1"/>
  <c r="BJ149"/>
  <c r="DE146"/>
  <c r="BZ146"/>
  <c r="CC146" s="1"/>
  <c r="BJ146"/>
  <c r="DB145"/>
  <c r="DA145"/>
  <c r="CD145"/>
  <c r="BM145"/>
  <c r="BG145"/>
  <c r="BE145"/>
  <c r="BD145"/>
  <c r="BC145"/>
  <c r="BB145"/>
  <c r="BA145"/>
  <c r="AX145"/>
  <c r="AS145"/>
  <c r="AR145"/>
  <c r="AQ145"/>
  <c r="AP145"/>
  <c r="AO145"/>
  <c r="AN145"/>
  <c r="AM145"/>
  <c r="AL145"/>
  <c r="AG145"/>
  <c r="AF145"/>
  <c r="AE145"/>
  <c r="AD145"/>
  <c r="AC145"/>
  <c r="AB145"/>
  <c r="AA145"/>
  <c r="Z145"/>
  <c r="U145"/>
  <c r="T145"/>
  <c r="R145"/>
  <c r="N145"/>
  <c r="M145"/>
  <c r="L145"/>
  <c r="K145"/>
  <c r="J145"/>
  <c r="I145"/>
  <c r="H145"/>
  <c r="AZ145" s="1"/>
  <c r="E145"/>
  <c r="D145"/>
  <c r="BZ144"/>
  <c r="BY144"/>
  <c r="BK144"/>
  <c r="BJ144"/>
  <c r="AX144"/>
  <c r="AW144"/>
  <c r="AV144"/>
  <c r="AK144"/>
  <c r="AJ144"/>
  <c r="Y144"/>
  <c r="X144"/>
  <c r="T144"/>
  <c r="L144"/>
  <c r="BZ143"/>
  <c r="CD143" s="1"/>
  <c r="CD142" s="1"/>
  <c r="BY143"/>
  <c r="BK143"/>
  <c r="BJ143"/>
  <c r="AX143"/>
  <c r="AW143"/>
  <c r="AV143"/>
  <c r="AK143"/>
  <c r="AJ143"/>
  <c r="T143"/>
  <c r="T142" s="1"/>
  <c r="O143"/>
  <c r="X143" s="1"/>
  <c r="L143"/>
  <c r="L142" s="1"/>
  <c r="DB142"/>
  <c r="DA142"/>
  <c r="CE142"/>
  <c r="BY142"/>
  <c r="BM142"/>
  <c r="BG142"/>
  <c r="BF142"/>
  <c r="BE142"/>
  <c r="BD142"/>
  <c r="BC142"/>
  <c r="BB142"/>
  <c r="BA142"/>
  <c r="AZ142"/>
  <c r="AY142"/>
  <c r="AX142"/>
  <c r="AT142"/>
  <c r="AS142"/>
  <c r="AR142"/>
  <c r="AQ142"/>
  <c r="AP142"/>
  <c r="AO142"/>
  <c r="AN142"/>
  <c r="AM142"/>
  <c r="AL142"/>
  <c r="AH142"/>
  <c r="AG142"/>
  <c r="AF142"/>
  <c r="AE142"/>
  <c r="AD142"/>
  <c r="AC142"/>
  <c r="AB142"/>
  <c r="AA142"/>
  <c r="Z142"/>
  <c r="U142"/>
  <c r="P142"/>
  <c r="N142"/>
  <c r="Y142" s="1"/>
  <c r="M142"/>
  <c r="K142"/>
  <c r="J142"/>
  <c r="I142"/>
  <c r="H142"/>
  <c r="DE137"/>
  <c r="DE136" s="1"/>
  <c r="DB141"/>
  <c r="DB137" s="1"/>
  <c r="DA141"/>
  <c r="BZ141"/>
  <c r="CD141" s="1"/>
  <c r="BY141"/>
  <c r="BK141"/>
  <c r="BJ141"/>
  <c r="BG141"/>
  <c r="BG137" s="1"/>
  <c r="BF141"/>
  <c r="BF137" s="1"/>
  <c r="BD141"/>
  <c r="BD137" s="1"/>
  <c r="BD136" s="1"/>
  <c r="BB141"/>
  <c r="AX141"/>
  <c r="AW141"/>
  <c r="AV141"/>
  <c r="AK141"/>
  <c r="AJ141"/>
  <c r="Y141"/>
  <c r="X141"/>
  <c r="T141"/>
  <c r="L141"/>
  <c r="DE140"/>
  <c r="DD140"/>
  <c r="DB140"/>
  <c r="DA140"/>
  <c r="BM140"/>
  <c r="AZ140"/>
  <c r="BK140" s="1"/>
  <c r="AY140"/>
  <c r="AS140"/>
  <c r="AR140"/>
  <c r="AQ140"/>
  <c r="AP140"/>
  <c r="AO140"/>
  <c r="AN140"/>
  <c r="AM140"/>
  <c r="AL140"/>
  <c r="AG140"/>
  <c r="AF140"/>
  <c r="AE140"/>
  <c r="AD140"/>
  <c r="AC140"/>
  <c r="AB140"/>
  <c r="AA140"/>
  <c r="Z140"/>
  <c r="U140"/>
  <c r="S140"/>
  <c r="R140"/>
  <c r="N140"/>
  <c r="M140"/>
  <c r="K140"/>
  <c r="J140"/>
  <c r="I140"/>
  <c r="H140"/>
  <c r="G140"/>
  <c r="F140"/>
  <c r="E140"/>
  <c r="D140"/>
  <c r="BZ139"/>
  <c r="BY139"/>
  <c r="BK139"/>
  <c r="BJ139"/>
  <c r="AW139"/>
  <c r="AV139"/>
  <c r="AK139"/>
  <c r="AJ139"/>
  <c r="Y139"/>
  <c r="X139"/>
  <c r="DF138"/>
  <c r="BZ138"/>
  <c r="CD138" s="1"/>
  <c r="BY138"/>
  <c r="BK138"/>
  <c r="BJ138"/>
  <c r="AX138"/>
  <c r="AX140" s="1"/>
  <c r="AW138"/>
  <c r="AV138"/>
  <c r="AK138"/>
  <c r="AJ138"/>
  <c r="T138"/>
  <c r="O138"/>
  <c r="O140" s="1"/>
  <c r="L138"/>
  <c r="DD137"/>
  <c r="DD136" s="1"/>
  <c r="DA137"/>
  <c r="CE137"/>
  <c r="BM137"/>
  <c r="BE137"/>
  <c r="BC137"/>
  <c r="BB137"/>
  <c r="BA137"/>
  <c r="AZ137"/>
  <c r="AY137"/>
  <c r="AT137"/>
  <c r="AS137"/>
  <c r="AR137"/>
  <c r="AQ137"/>
  <c r="AP137"/>
  <c r="AO137"/>
  <c r="AN137"/>
  <c r="AM137"/>
  <c r="AL137"/>
  <c r="AH137"/>
  <c r="AH136" s="1"/>
  <c r="AG137"/>
  <c r="AG136" s="1"/>
  <c r="AF137"/>
  <c r="AE137"/>
  <c r="AD137"/>
  <c r="AC137"/>
  <c r="AB137"/>
  <c r="AA137"/>
  <c r="Z137"/>
  <c r="U137"/>
  <c r="P137"/>
  <c r="N137"/>
  <c r="X137" s="1"/>
  <c r="M137"/>
  <c r="K137"/>
  <c r="J137"/>
  <c r="I137"/>
  <c r="H137"/>
  <c r="G137"/>
  <c r="F137"/>
  <c r="BY137" s="1"/>
  <c r="E137"/>
  <c r="D137"/>
  <c r="AT136"/>
  <c r="V136"/>
  <c r="R136"/>
  <c r="Q136"/>
  <c r="BZ135"/>
  <c r="CC135" s="1"/>
  <c r="BJ135"/>
  <c r="DF134"/>
  <c r="DG134" s="1"/>
  <c r="DF133"/>
  <c r="DG133" s="1"/>
  <c r="DF132"/>
  <c r="DG132" s="1"/>
  <c r="DF131"/>
  <c r="DG131" s="1"/>
  <c r="DF130"/>
  <c r="DG130" s="1"/>
  <c r="DF129"/>
  <c r="DG129" s="1"/>
  <c r="DF128"/>
  <c r="DG128" s="1"/>
  <c r="DF127"/>
  <c r="DG127" s="1"/>
  <c r="DF126"/>
  <c r="DG126" s="1"/>
  <c r="DF125"/>
  <c r="DG125" s="1"/>
  <c r="DF124"/>
  <c r="DG124" s="1"/>
  <c r="BZ124"/>
  <c r="CC124" s="1"/>
  <c r="BJ124"/>
  <c r="DF123"/>
  <c r="DG123" s="1"/>
  <c r="BZ123"/>
  <c r="CC123" s="1"/>
  <c r="BJ123"/>
  <c r="DF122"/>
  <c r="DG122" s="1"/>
  <c r="DF121"/>
  <c r="DG121" s="1"/>
  <c r="DF120"/>
  <c r="DG120" s="1"/>
  <c r="DF119"/>
  <c r="DG119" s="1"/>
  <c r="DF118"/>
  <c r="DG118" s="1"/>
  <c r="DF117"/>
  <c r="DG117" s="1"/>
  <c r="DF116"/>
  <c r="DG116" s="1"/>
  <c r="DF115"/>
  <c r="DG115" s="1"/>
  <c r="DF114"/>
  <c r="DG114" s="1"/>
  <c r="DF113"/>
  <c r="DG113" s="1"/>
  <c r="DF112"/>
  <c r="DG112" s="1"/>
  <c r="DF111"/>
  <c r="DF110"/>
  <c r="DE109"/>
  <c r="DD109"/>
  <c r="DB109"/>
  <c r="DA109"/>
  <c r="BG109"/>
  <c r="BF109"/>
  <c r="BE109"/>
  <c r="BD109"/>
  <c r="BC109"/>
  <c r="BB109"/>
  <c r="BA109"/>
  <c r="AY109"/>
  <c r="G109"/>
  <c r="F109"/>
  <c r="E109"/>
  <c r="D109"/>
  <c r="DF108"/>
  <c r="DF107"/>
  <c r="DF106"/>
  <c r="DF105"/>
  <c r="DF104"/>
  <c r="DF103"/>
  <c r="DB103"/>
  <c r="DB102"/>
  <c r="DA99"/>
  <c r="BF99"/>
  <c r="BC99"/>
  <c r="BB99"/>
  <c r="BA99"/>
  <c r="AY99"/>
  <c r="G99"/>
  <c r="F99"/>
  <c r="E99"/>
  <c r="D99"/>
  <c r="BZ98"/>
  <c r="CC98" s="1"/>
  <c r="BA98"/>
  <c r="BJ98" s="1"/>
  <c r="Y98"/>
  <c r="X98"/>
  <c r="DF97"/>
  <c r="DG97" s="1"/>
  <c r="DA97"/>
  <c r="DF96"/>
  <c r="DG96" s="1"/>
  <c r="CC96"/>
  <c r="BJ96"/>
  <c r="AX96"/>
  <c r="DF95"/>
  <c r="DG95" s="1"/>
  <c r="BZ95"/>
  <c r="CC95" s="1"/>
  <c r="BJ95"/>
  <c r="DE94"/>
  <c r="DD94"/>
  <c r="DB94"/>
  <c r="DA94"/>
  <c r="BG94"/>
  <c r="BF94"/>
  <c r="BE94"/>
  <c r="BD94"/>
  <c r="BC94"/>
  <c r="BB94"/>
  <c r="BA94"/>
  <c r="AY94"/>
  <c r="G94"/>
  <c r="AX94" s="1"/>
  <c r="F94"/>
  <c r="E94"/>
  <c r="D94"/>
  <c r="DF93"/>
  <c r="AX93"/>
  <c r="CE92"/>
  <c r="CD92"/>
  <c r="BM92"/>
  <c r="AS92"/>
  <c r="AR92"/>
  <c r="AQ92"/>
  <c r="AP92"/>
  <c r="AO92"/>
  <c r="AN92"/>
  <c r="AM92"/>
  <c r="AL92"/>
  <c r="AG92"/>
  <c r="AF92"/>
  <c r="AE92"/>
  <c r="AD92"/>
  <c r="AC92"/>
  <c r="AB92"/>
  <c r="AA92"/>
  <c r="Z92"/>
  <c r="U92"/>
  <c r="T92"/>
  <c r="S92"/>
  <c r="R92"/>
  <c r="N92"/>
  <c r="M92"/>
  <c r="L92"/>
  <c r="K92"/>
  <c r="J92"/>
  <c r="I92"/>
  <c r="H92"/>
  <c r="AZ92" s="1"/>
  <c r="DF91"/>
  <c r="DG91" s="1"/>
  <c r="AX91"/>
  <c r="L91"/>
  <c r="DF90"/>
  <c r="DG90" s="1"/>
  <c r="DB90"/>
  <c r="BZ90"/>
  <c r="BK90"/>
  <c r="BJ90"/>
  <c r="AW90"/>
  <c r="AV90"/>
  <c r="AK90"/>
  <c r="AJ90"/>
  <c r="R90"/>
  <c r="N90"/>
  <c r="G90"/>
  <c r="F90"/>
  <c r="DF89"/>
  <c r="DG89" s="1"/>
  <c r="BZ89"/>
  <c r="CC89" s="1"/>
  <c r="BK89"/>
  <c r="BJ89"/>
  <c r="AX89"/>
  <c r="AW89"/>
  <c r="AV89"/>
  <c r="AK89"/>
  <c r="AJ89"/>
  <c r="R89"/>
  <c r="N89"/>
  <c r="Y89" s="1"/>
  <c r="L89"/>
  <c r="I89"/>
  <c r="K89" s="1"/>
  <c r="T89" s="1"/>
  <c r="DF88"/>
  <c r="DG88" s="1"/>
  <c r="BZ88"/>
  <c r="CD88" s="1"/>
  <c r="BK88"/>
  <c r="BJ88"/>
  <c r="AX88"/>
  <c r="AW88"/>
  <c r="AV88"/>
  <c r="AK88"/>
  <c r="AJ88"/>
  <c r="R88"/>
  <c r="N88"/>
  <c r="Y88" s="1"/>
  <c r="L88"/>
  <c r="I88"/>
  <c r="DF87"/>
  <c r="BZ87"/>
  <c r="CC87" s="1"/>
  <c r="BK87"/>
  <c r="BJ87"/>
  <c r="AX87"/>
  <c r="AW87"/>
  <c r="AV87"/>
  <c r="AK87"/>
  <c r="AJ87"/>
  <c r="R87"/>
  <c r="N87"/>
  <c r="X87" s="1"/>
  <c r="L87"/>
  <c r="I87"/>
  <c r="K87" s="1"/>
  <c r="AT60"/>
  <c r="DF86"/>
  <c r="DG86" s="1"/>
  <c r="BZ86"/>
  <c r="CC86" s="1"/>
  <c r="BJ86"/>
  <c r="AX86"/>
  <c r="DF85"/>
  <c r="DG85" s="1"/>
  <c r="BZ85"/>
  <c r="CC85" s="1"/>
  <c r="BJ85"/>
  <c r="AX85"/>
  <c r="DF84"/>
  <c r="DG84" s="1"/>
  <c r="BZ84"/>
  <c r="CC84" s="1"/>
  <c r="BJ84"/>
  <c r="AX84"/>
  <c r="DF83"/>
  <c r="DG83" s="1"/>
  <c r="AX83"/>
  <c r="DF82"/>
  <c r="DG82" s="1"/>
  <c r="AX82"/>
  <c r="DF81"/>
  <c r="DG81" s="1"/>
  <c r="AX81"/>
  <c r="DF80"/>
  <c r="DG80" s="1"/>
  <c r="BZ80"/>
  <c r="CC80" s="1"/>
  <c r="BJ80"/>
  <c r="AX80"/>
  <c r="DF79"/>
  <c r="DG79" s="1"/>
  <c r="DF78"/>
  <c r="DG78" s="1"/>
  <c r="BZ78"/>
  <c r="CC78" s="1"/>
  <c r="BJ78"/>
  <c r="AX78"/>
  <c r="DG77"/>
  <c r="BJ77"/>
  <c r="AX77"/>
  <c r="DE76"/>
  <c r="DF76" s="1"/>
  <c r="DG76" s="1"/>
  <c r="DB76"/>
  <c r="DB73" s="1"/>
  <c r="BZ76"/>
  <c r="CC76" s="1"/>
  <c r="BK76"/>
  <c r="BJ76"/>
  <c r="AW76"/>
  <c r="AV76"/>
  <c r="AK76"/>
  <c r="AJ76"/>
  <c r="T76"/>
  <c r="T73" s="1"/>
  <c r="R76"/>
  <c r="N76"/>
  <c r="X76" s="1"/>
  <c r="G76"/>
  <c r="G73" s="1"/>
  <c r="AX73" s="1"/>
  <c r="F76"/>
  <c r="DF75"/>
  <c r="DG75" s="1"/>
  <c r="AX75"/>
  <c r="DF74"/>
  <c r="DG74" s="1"/>
  <c r="BJ74"/>
  <c r="AX74"/>
  <c r="DA73"/>
  <c r="CE73"/>
  <c r="BM73"/>
  <c r="BG73"/>
  <c r="BF73"/>
  <c r="BE73"/>
  <c r="BD73"/>
  <c r="BD60" s="1"/>
  <c r="BC73"/>
  <c r="BB73"/>
  <c r="BA73"/>
  <c r="AZ73"/>
  <c r="AY73"/>
  <c r="AS73"/>
  <c r="AS60" s="1"/>
  <c r="AR73"/>
  <c r="AQ73"/>
  <c r="AP73"/>
  <c r="AO73"/>
  <c r="AN73"/>
  <c r="AM73"/>
  <c r="AL73"/>
  <c r="AG73"/>
  <c r="AG60" s="1"/>
  <c r="AF73"/>
  <c r="AE73"/>
  <c r="AD73"/>
  <c r="AC73"/>
  <c r="AB73"/>
  <c r="AA73"/>
  <c r="Z73"/>
  <c r="Y73"/>
  <c r="X73"/>
  <c r="U73"/>
  <c r="M73"/>
  <c r="K73"/>
  <c r="J73"/>
  <c r="I73"/>
  <c r="H73"/>
  <c r="F73"/>
  <c r="BY73" s="1"/>
  <c r="E73"/>
  <c r="D73"/>
  <c r="AX72"/>
  <c r="CC71"/>
  <c r="BJ71"/>
  <c r="BB71"/>
  <c r="BB70" s="1"/>
  <c r="AX71"/>
  <c r="L71"/>
  <c r="L70" s="1"/>
  <c r="DG69"/>
  <c r="BZ69"/>
  <c r="CC69" s="1"/>
  <c r="BK69"/>
  <c r="BJ69"/>
  <c r="AX69"/>
  <c r="AW69"/>
  <c r="AV69"/>
  <c r="AK69"/>
  <c r="AJ69"/>
  <c r="N69"/>
  <c r="Y69" s="1"/>
  <c r="L69"/>
  <c r="DG68"/>
  <c r="DG67"/>
  <c r="DG66"/>
  <c r="DG65"/>
  <c r="DB65"/>
  <c r="DG63"/>
  <c r="DG62"/>
  <c r="DG61"/>
  <c r="DE61"/>
  <c r="DD61"/>
  <c r="BY61"/>
  <c r="BG61"/>
  <c r="BF61"/>
  <c r="CE60"/>
  <c r="AX60"/>
  <c r="AM60"/>
  <c r="AH60"/>
  <c r="Y60"/>
  <c r="X60"/>
  <c r="L60"/>
  <c r="J60"/>
  <c r="DG59"/>
  <c r="DF59"/>
  <c r="DE55"/>
  <c r="DD55"/>
  <c r="DD53" s="1"/>
  <c r="DB59"/>
  <c r="DB55" s="1"/>
  <c r="DA59"/>
  <c r="DA55" s="1"/>
  <c r="BZ59"/>
  <c r="CD59" s="1"/>
  <c r="BK59"/>
  <c r="BJ59"/>
  <c r="BG59"/>
  <c r="BG55" s="1"/>
  <c r="BF59"/>
  <c r="BF55" s="1"/>
  <c r="BD59"/>
  <c r="BD55" s="1"/>
  <c r="BB59"/>
  <c r="BB55" s="1"/>
  <c r="AW59"/>
  <c r="AV59"/>
  <c r="AK59"/>
  <c r="AJ59"/>
  <c r="Y59"/>
  <c r="X59"/>
  <c r="T59"/>
  <c r="G59"/>
  <c r="G55" s="1"/>
  <c r="AX55" s="1"/>
  <c r="E59"/>
  <c r="D59"/>
  <c r="D55" s="1"/>
  <c r="DE58"/>
  <c r="DD58"/>
  <c r="DB58"/>
  <c r="DA58"/>
  <c r="CE58"/>
  <c r="BM58"/>
  <c r="AZ58"/>
  <c r="BK58" s="1"/>
  <c r="AY58"/>
  <c r="AS58"/>
  <c r="AR58"/>
  <c r="AQ58"/>
  <c r="AP58"/>
  <c r="AO58"/>
  <c r="AN58"/>
  <c r="AM58"/>
  <c r="AL58"/>
  <c r="AG58"/>
  <c r="AF58"/>
  <c r="AE58"/>
  <c r="AD58"/>
  <c r="AC58"/>
  <c r="AB58"/>
  <c r="AA58"/>
  <c r="Z58"/>
  <c r="U58"/>
  <c r="S58"/>
  <c r="R58"/>
  <c r="Q58"/>
  <c r="O58"/>
  <c r="N58"/>
  <c r="M58"/>
  <c r="K58"/>
  <c r="J58"/>
  <c r="I58"/>
  <c r="H58"/>
  <c r="G58"/>
  <c r="E58"/>
  <c r="D58"/>
  <c r="BZ57"/>
  <c r="BY57"/>
  <c r="BK57"/>
  <c r="BJ57"/>
  <c r="AW57"/>
  <c r="AV57"/>
  <c r="AK57"/>
  <c r="AJ57"/>
  <c r="Y57"/>
  <c r="X57"/>
  <c r="BZ56"/>
  <c r="BK56"/>
  <c r="BJ56"/>
  <c r="AX56"/>
  <c r="AX58" s="1"/>
  <c r="AW56"/>
  <c r="AV56"/>
  <c r="AK56"/>
  <c r="AJ56"/>
  <c r="Y56"/>
  <c r="X56"/>
  <c r="T56"/>
  <c r="T58" s="1"/>
  <c r="L56"/>
  <c r="BY56" s="1"/>
  <c r="F56"/>
  <c r="F59" s="1"/>
  <c r="F55" s="1"/>
  <c r="CE55"/>
  <c r="CE53" s="1"/>
  <c r="CE168" s="1"/>
  <c r="CE332" s="1"/>
  <c r="CE334" s="1"/>
  <c r="CE337" s="1"/>
  <c r="BM55"/>
  <c r="BM53" s="1"/>
  <c r="BE55"/>
  <c r="BC55"/>
  <c r="BA55"/>
  <c r="AZ55"/>
  <c r="AZ53" s="1"/>
  <c r="AY55"/>
  <c r="AT55"/>
  <c r="AT53" s="1"/>
  <c r="AS55"/>
  <c r="AS53" s="1"/>
  <c r="AR55"/>
  <c r="AR53" s="1"/>
  <c r="AQ55"/>
  <c r="AQ53" s="1"/>
  <c r="AP55"/>
  <c r="AP53" s="1"/>
  <c r="AO55"/>
  <c r="AN55"/>
  <c r="AN53" s="1"/>
  <c r="AM55"/>
  <c r="AM53" s="1"/>
  <c r="AL55"/>
  <c r="AL53" s="1"/>
  <c r="AH55"/>
  <c r="AH53" s="1"/>
  <c r="AG55"/>
  <c r="AG53" s="1"/>
  <c r="AF55"/>
  <c r="AF53" s="1"/>
  <c r="AE55"/>
  <c r="AE53" s="1"/>
  <c r="AD55"/>
  <c r="AD53" s="1"/>
  <c r="AC55"/>
  <c r="AB55"/>
  <c r="AB53" s="1"/>
  <c r="AA55"/>
  <c r="AA53" s="1"/>
  <c r="Z55"/>
  <c r="Z53" s="1"/>
  <c r="V55"/>
  <c r="V53" s="1"/>
  <c r="S55"/>
  <c r="S53" s="1"/>
  <c r="S168" s="1"/>
  <c r="R55"/>
  <c r="R53" s="1"/>
  <c r="Q55"/>
  <c r="Q53" s="1"/>
  <c r="O55"/>
  <c r="X55" s="1"/>
  <c r="M55"/>
  <c r="K55"/>
  <c r="K53" s="1"/>
  <c r="J55"/>
  <c r="J53" s="1"/>
  <c r="I55"/>
  <c r="I53" s="1"/>
  <c r="H55"/>
  <c r="H53" s="1"/>
  <c r="BZ54"/>
  <c r="BK54"/>
  <c r="BJ54"/>
  <c r="AX54"/>
  <c r="AW54"/>
  <c r="AV54"/>
  <c r="AK54"/>
  <c r="AJ54"/>
  <c r="Y54"/>
  <c r="X54"/>
  <c r="T54"/>
  <c r="L54"/>
  <c r="BY54" s="1"/>
  <c r="CF53"/>
  <c r="BX53"/>
  <c r="BX168" s="1"/>
  <c r="BX332" s="1"/>
  <c r="BX334" s="1"/>
  <c r="AO53"/>
  <c r="U53"/>
  <c r="P53"/>
  <c r="P168" s="1"/>
  <c r="N53"/>
  <c r="N168" s="1"/>
  <c r="BZ52"/>
  <c r="CA52" s="1"/>
  <c r="BI52"/>
  <c r="BH51"/>
  <c r="BH50"/>
  <c r="BH49"/>
  <c r="BG48"/>
  <c r="BG47"/>
  <c r="BF46"/>
  <c r="BF42" s="1"/>
  <c r="BE45"/>
  <c r="BE42" s="1"/>
  <c r="DB44"/>
  <c r="BZ44"/>
  <c r="BY44"/>
  <c r="BC44"/>
  <c r="BJ44" s="1"/>
  <c r="AX44"/>
  <c r="DB43"/>
  <c r="BZ43"/>
  <c r="BY43"/>
  <c r="BA43"/>
  <c r="BK43" s="1"/>
  <c r="AX43"/>
  <c r="DF42"/>
  <c r="DE42"/>
  <c r="DD42"/>
  <c r="CF42"/>
  <c r="CE42"/>
  <c r="CD42"/>
  <c r="BX42"/>
  <c r="BM42"/>
  <c r="BI42"/>
  <c r="BD42"/>
  <c r="BB42"/>
  <c r="AY42"/>
  <c r="AM42"/>
  <c r="AA42"/>
  <c r="W42"/>
  <c r="V42"/>
  <c r="U42"/>
  <c r="S42"/>
  <c r="O42"/>
  <c r="M42"/>
  <c r="G42"/>
  <c r="F42"/>
  <c r="E42"/>
  <c r="D42"/>
  <c r="CD41"/>
  <c r="CD31" s="1"/>
  <c r="CC41"/>
  <c r="CA41"/>
  <c r="BI41"/>
  <c r="BI31" s="1"/>
  <c r="BM40"/>
  <c r="BM31" s="1"/>
  <c r="BH40"/>
  <c r="AM40"/>
  <c r="AM31" s="1"/>
  <c r="AA40"/>
  <c r="AA31" s="1"/>
  <c r="M40"/>
  <c r="BH39"/>
  <c r="BH38"/>
  <c r="BZ37"/>
  <c r="CC37" s="1"/>
  <c r="BG37"/>
  <c r="BZ36"/>
  <c r="CC36" s="1"/>
  <c r="BG36"/>
  <c r="BF35"/>
  <c r="BF31" s="1"/>
  <c r="DG34"/>
  <c r="DF34"/>
  <c r="DA34"/>
  <c r="DA45" s="1"/>
  <c r="AY34"/>
  <c r="BE34" s="1"/>
  <c r="BE31" s="1"/>
  <c r="AX34"/>
  <c r="DG33"/>
  <c r="DF33"/>
  <c r="DE31"/>
  <c r="DA33"/>
  <c r="DA44" s="1"/>
  <c r="BZ33"/>
  <c r="CC33" s="1"/>
  <c r="BC33"/>
  <c r="BK33" s="1"/>
  <c r="AX33"/>
  <c r="T33"/>
  <c r="T31" s="1"/>
  <c r="R33"/>
  <c r="R31" s="1"/>
  <c r="L33"/>
  <c r="BY33" s="1"/>
  <c r="DG32"/>
  <c r="DF32"/>
  <c r="DA32"/>
  <c r="DA43" s="1"/>
  <c r="BZ32"/>
  <c r="CC32" s="1"/>
  <c r="BA32"/>
  <c r="BK32" s="1"/>
  <c r="BK31" s="1"/>
  <c r="AX32"/>
  <c r="AW32"/>
  <c r="AW31" s="1"/>
  <c r="AV32"/>
  <c r="AV31" s="1"/>
  <c r="AK32"/>
  <c r="AK31" s="1"/>
  <c r="AJ32"/>
  <c r="AJ31" s="1"/>
  <c r="N32"/>
  <c r="Y32" s="1"/>
  <c r="Y31" s="1"/>
  <c r="L32"/>
  <c r="BY32" s="1"/>
  <c r="DD31"/>
  <c r="CF31"/>
  <c r="CE31"/>
  <c r="BX31"/>
  <c r="BD31"/>
  <c r="BB31"/>
  <c r="AY31"/>
  <c r="AU31"/>
  <c r="AT31"/>
  <c r="AS31"/>
  <c r="AR31"/>
  <c r="AQ31"/>
  <c r="AP31"/>
  <c r="AO31"/>
  <c r="AN31"/>
  <c r="AL31"/>
  <c r="AI31"/>
  <c r="AH31"/>
  <c r="AG31"/>
  <c r="AF31"/>
  <c r="AE31"/>
  <c r="AD31"/>
  <c r="AC31"/>
  <c r="AB31"/>
  <c r="Z31"/>
  <c r="W31"/>
  <c r="V31"/>
  <c r="U31"/>
  <c r="S31"/>
  <c r="S333" s="1"/>
  <c r="Q31"/>
  <c r="P31"/>
  <c r="O31"/>
  <c r="O333" s="1"/>
  <c r="K31"/>
  <c r="J31"/>
  <c r="I31"/>
  <c r="H31"/>
  <c r="G31"/>
  <c r="F31"/>
  <c r="E31"/>
  <c r="D31"/>
  <c r="BZ30"/>
  <c r="CC30" s="1"/>
  <c r="BY30"/>
  <c r="BG30"/>
  <c r="BG23" s="1"/>
  <c r="AX30"/>
  <c r="V30"/>
  <c r="V23" s="1"/>
  <c r="BF29"/>
  <c r="BF23" s="1"/>
  <c r="AX29"/>
  <c r="DB28"/>
  <c r="DB34" s="1"/>
  <c r="CC28"/>
  <c r="BK28"/>
  <c r="BJ28"/>
  <c r="BE28"/>
  <c r="BE23" s="1"/>
  <c r="AX28"/>
  <c r="AW28"/>
  <c r="AV28"/>
  <c r="AK28"/>
  <c r="AJ28"/>
  <c r="Y28"/>
  <c r="X28"/>
  <c r="Q28"/>
  <c r="Q23" s="1"/>
  <c r="L28"/>
  <c r="BY28" s="1"/>
  <c r="CA28" s="1"/>
  <c r="CC27"/>
  <c r="BC27"/>
  <c r="BC23" s="1"/>
  <c r="AX27"/>
  <c r="BB27" s="1"/>
  <c r="T27"/>
  <c r="T23" s="1"/>
  <c r="S27"/>
  <c r="U27" s="1"/>
  <c r="U23" s="1"/>
  <c r="R27"/>
  <c r="R23" s="1"/>
  <c r="L27"/>
  <c r="BY27" s="1"/>
  <c r="CB27" s="1"/>
  <c r="DG26"/>
  <c r="BA26"/>
  <c r="BK26" s="1"/>
  <c r="AX26"/>
  <c r="AW26"/>
  <c r="AV26"/>
  <c r="AK26"/>
  <c r="AJ26"/>
  <c r="O26"/>
  <c r="Y26" s="1"/>
  <c r="DG25"/>
  <c r="BA25"/>
  <c r="BK25" s="1"/>
  <c r="AX25"/>
  <c r="AW25"/>
  <c r="AV25"/>
  <c r="AK25"/>
  <c r="AJ25"/>
  <c r="O25"/>
  <c r="Y25" s="1"/>
  <c r="BZ24"/>
  <c r="BZ23" s="1"/>
  <c r="BY24"/>
  <c r="BA24"/>
  <c r="BA23" s="1"/>
  <c r="AZ24"/>
  <c r="AZ23" s="1"/>
  <c r="AN24"/>
  <c r="AV24" s="1"/>
  <c r="AV23" s="1"/>
  <c r="AL24"/>
  <c r="AL23" s="1"/>
  <c r="AB24"/>
  <c r="AJ24" s="1"/>
  <c r="AJ23" s="1"/>
  <c r="Z24"/>
  <c r="Z23" s="1"/>
  <c r="N24"/>
  <c r="N23" s="1"/>
  <c r="M24"/>
  <c r="M23" s="1"/>
  <c r="L24"/>
  <c r="DG23"/>
  <c r="DF23"/>
  <c r="DE23"/>
  <c r="DD23"/>
  <c r="DA23"/>
  <c r="CE23"/>
  <c r="CD23"/>
  <c r="BX23"/>
  <c r="BM23"/>
  <c r="BD23"/>
  <c r="BB23"/>
  <c r="AY23"/>
  <c r="AT23"/>
  <c r="AS23"/>
  <c r="AR23"/>
  <c r="AQ23"/>
  <c r="AP23"/>
  <c r="AO23"/>
  <c r="AM23"/>
  <c r="AH23"/>
  <c r="AG23"/>
  <c r="AF23"/>
  <c r="AE23"/>
  <c r="AD23"/>
  <c r="AC23"/>
  <c r="AA23"/>
  <c r="S23"/>
  <c r="S340" s="1"/>
  <c r="K23"/>
  <c r="J23"/>
  <c r="I23"/>
  <c r="H23"/>
  <c r="G23"/>
  <c r="F23"/>
  <c r="E23"/>
  <c r="D23"/>
  <c r="DF94" l="1"/>
  <c r="DG94" s="1"/>
  <c r="BD92"/>
  <c r="BA31"/>
  <c r="N31"/>
  <c r="F136"/>
  <c r="BY136" s="1"/>
  <c r="G170"/>
  <c r="N171"/>
  <c r="DB23"/>
  <c r="L23"/>
  <c r="CA33"/>
  <c r="BZ92"/>
  <c r="J136"/>
  <c r="AM136"/>
  <c r="AV137"/>
  <c r="AQ136"/>
  <c r="AQ168" s="1"/>
  <c r="AQ332" s="1"/>
  <c r="AQ340" s="1"/>
  <c r="AS136"/>
  <c r="BC136"/>
  <c r="CB139"/>
  <c r="BJ140"/>
  <c r="BG136"/>
  <c r="CA143"/>
  <c r="CC143"/>
  <c r="AZ136"/>
  <c r="DG238"/>
  <c r="DG241" s="1"/>
  <c r="BD236"/>
  <c r="DA236"/>
  <c r="O298"/>
  <c r="AQ60"/>
  <c r="AZ60"/>
  <c r="AX31"/>
  <c r="AV58"/>
  <c r="BZ251"/>
  <c r="Y247"/>
  <c r="DD169"/>
  <c r="AZ168"/>
  <c r="BJ26"/>
  <c r="P28"/>
  <c r="P23" s="1"/>
  <c r="CA30"/>
  <c r="L31"/>
  <c r="BC31"/>
  <c r="X32"/>
  <c r="X31" s="1"/>
  <c r="DG31"/>
  <c r="BJ33"/>
  <c r="DF31"/>
  <c r="CA36"/>
  <c r="AV53"/>
  <c r="CB173"/>
  <c r="BK174"/>
  <c r="X175"/>
  <c r="BB170"/>
  <c r="BF170"/>
  <c r="CB175"/>
  <c r="AJ176"/>
  <c r="AV176"/>
  <c r="AY176"/>
  <c r="AW180"/>
  <c r="BG180"/>
  <c r="X183"/>
  <c r="X214"/>
  <c r="BM298"/>
  <c r="BI324"/>
  <c r="BZ234"/>
  <c r="M230"/>
  <c r="AX42"/>
  <c r="BG42"/>
  <c r="BH42"/>
  <c r="R168"/>
  <c r="T55"/>
  <c r="AM168"/>
  <c r="BK73"/>
  <c r="BE92"/>
  <c r="BG92"/>
  <c r="BG60" s="1"/>
  <c r="BG53" s="1"/>
  <c r="BG168" s="1"/>
  <c r="BM136"/>
  <c r="BM60" s="1"/>
  <c r="AC136"/>
  <c r="AC60" s="1"/>
  <c r="D170"/>
  <c r="D169" s="1"/>
  <c r="AW171"/>
  <c r="BJ171"/>
  <c r="AW237"/>
  <c r="AA298"/>
  <c r="BD53"/>
  <c r="BD168" s="1"/>
  <c r="AY170"/>
  <c r="BM169"/>
  <c r="Y298"/>
  <c r="J168"/>
  <c r="J332" s="1"/>
  <c r="Y230"/>
  <c r="AJ230"/>
  <c r="AW257"/>
  <c r="BJ251"/>
  <c r="M265"/>
  <c r="AM265"/>
  <c r="BF268"/>
  <c r="BF265" s="1"/>
  <c r="BH276"/>
  <c r="BI301"/>
  <c r="X308"/>
  <c r="BA308"/>
  <c r="BK308" s="1"/>
  <c r="BI319"/>
  <c r="CA335"/>
  <c r="CC335"/>
  <c r="CA336"/>
  <c r="CC23"/>
  <c r="AB23"/>
  <c r="AK23" s="1"/>
  <c r="AK24"/>
  <c r="BK23"/>
  <c r="CB24"/>
  <c r="AX24"/>
  <c r="AX23" s="1"/>
  <c r="BJ25"/>
  <c r="BH31"/>
  <c r="BA42"/>
  <c r="BJ42" s="1"/>
  <c r="BC42"/>
  <c r="BJ43"/>
  <c r="CB43"/>
  <c r="BY42"/>
  <c r="CA54"/>
  <c r="Q168"/>
  <c r="AG168"/>
  <c r="AG332" s="1"/>
  <c r="BJ58"/>
  <c r="CC59"/>
  <c r="X69"/>
  <c r="BZ73"/>
  <c r="CA73" s="1"/>
  <c r="AW73"/>
  <c r="D92"/>
  <c r="F92"/>
  <c r="BY92" s="1"/>
  <c r="CA92" s="1"/>
  <c r="BA92"/>
  <c r="BC92"/>
  <c r="BC60" s="1"/>
  <c r="BC53" s="1"/>
  <c r="BC168" s="1"/>
  <c r="E92"/>
  <c r="CC92" s="1"/>
  <c r="AO136"/>
  <c r="AO60" s="1"/>
  <c r="E136"/>
  <c r="U136"/>
  <c r="U168" s="1"/>
  <c r="U332" s="1"/>
  <c r="AA136"/>
  <c r="AA168" s="1"/>
  <c r="AE136"/>
  <c r="AE168" s="1"/>
  <c r="AE332" s="1"/>
  <c r="BE136"/>
  <c r="DA136"/>
  <c r="AJ140"/>
  <c r="BA136"/>
  <c r="BK136" s="1"/>
  <c r="H136"/>
  <c r="H60" s="1"/>
  <c r="AL136"/>
  <c r="AL60" s="1"/>
  <c r="AN136"/>
  <c r="AN60" s="1"/>
  <c r="AP136"/>
  <c r="AP60" s="1"/>
  <c r="AR136"/>
  <c r="AR60" s="1"/>
  <c r="E170"/>
  <c r="DB170"/>
  <c r="AK174"/>
  <c r="DG170"/>
  <c r="CB176"/>
  <c r="X176"/>
  <c r="BK176"/>
  <c r="X204"/>
  <c r="Y234"/>
  <c r="AJ234"/>
  <c r="BJ230"/>
  <c r="BJ237"/>
  <c r="BJ136"/>
  <c r="D136"/>
  <c r="BJ23"/>
  <c r="DA42"/>
  <c r="CB54"/>
  <c r="Y55"/>
  <c r="AL168"/>
  <c r="AL332" s="1"/>
  <c r="AL338" s="1"/>
  <c r="AW137"/>
  <c r="Y143"/>
  <c r="Z136"/>
  <c r="AB136"/>
  <c r="AD136"/>
  <c r="AD60" s="1"/>
  <c r="AF136"/>
  <c r="AJ169"/>
  <c r="Y176"/>
  <c r="BK230"/>
  <c r="BK234"/>
  <c r="AK257"/>
  <c r="BZ257"/>
  <c r="W265"/>
  <c r="W332" s="1"/>
  <c r="W333" s="1"/>
  <c r="AI265"/>
  <c r="AI332" s="1"/>
  <c r="AI333" s="1"/>
  <c r="AU265"/>
  <c r="AU332" s="1"/>
  <c r="AU333" s="1"/>
  <c r="AW308"/>
  <c r="M298"/>
  <c r="BZ298" s="1"/>
  <c r="CC298" s="1"/>
  <c r="Y87"/>
  <c r="X88"/>
  <c r="BY23"/>
  <c r="CA23" s="1"/>
  <c r="O24"/>
  <c r="BJ24"/>
  <c r="CA24"/>
  <c r="CC24"/>
  <c r="X25"/>
  <c r="X26"/>
  <c r="DA31"/>
  <c r="BJ32"/>
  <c r="BG31"/>
  <c r="CA37"/>
  <c r="CA43"/>
  <c r="CC43"/>
  <c r="BK44"/>
  <c r="CC52"/>
  <c r="O53"/>
  <c r="Y53" s="1"/>
  <c r="AH168"/>
  <c r="AH332" s="1"/>
  <c r="AH333" s="1"/>
  <c r="AS168"/>
  <c r="AS332" s="1"/>
  <c r="AS340" s="1"/>
  <c r="T53"/>
  <c r="CC54"/>
  <c r="E55"/>
  <c r="BZ55"/>
  <c r="BZ53" s="1"/>
  <c r="F58"/>
  <c r="BY58" s="1"/>
  <c r="L58"/>
  <c r="Y58"/>
  <c r="AW58"/>
  <c r="BZ58"/>
  <c r="CA58" s="1"/>
  <c r="CC73"/>
  <c r="AV73"/>
  <c r="BJ73"/>
  <c r="DF73"/>
  <c r="Y76"/>
  <c r="CD76"/>
  <c r="CD73" s="1"/>
  <c r="CC88"/>
  <c r="X89"/>
  <c r="DA92"/>
  <c r="G92"/>
  <c r="AX92" s="1"/>
  <c r="DB99"/>
  <c r="DB92" s="1"/>
  <c r="DF99"/>
  <c r="AY92"/>
  <c r="BB92"/>
  <c r="BF92"/>
  <c r="BF60" s="1"/>
  <c r="DG109"/>
  <c r="Y137"/>
  <c r="AK137"/>
  <c r="BJ137"/>
  <c r="DB136"/>
  <c r="Y138"/>
  <c r="CA138"/>
  <c r="CC138"/>
  <c r="CA139"/>
  <c r="CC139"/>
  <c r="AK140"/>
  <c r="AK142"/>
  <c r="AW142"/>
  <c r="BJ142"/>
  <c r="BB136"/>
  <c r="BF136"/>
  <c r="BZ142"/>
  <c r="CC142" s="1"/>
  <c r="BZ145"/>
  <c r="CC145" s="1"/>
  <c r="AY136"/>
  <c r="AO169"/>
  <c r="AW169" s="1"/>
  <c r="F170"/>
  <c r="Y171"/>
  <c r="T171"/>
  <c r="T169" s="1"/>
  <c r="AJ171"/>
  <c r="AV171"/>
  <c r="Y172"/>
  <c r="CA172"/>
  <c r="CC172"/>
  <c r="N174"/>
  <c r="X174" s="1"/>
  <c r="AJ174"/>
  <c r="AV174"/>
  <c r="AW176"/>
  <c r="BC170"/>
  <c r="BE170"/>
  <c r="BZ180"/>
  <c r="CA180" s="1"/>
  <c r="Y180"/>
  <c r="AJ180"/>
  <c r="AV180"/>
  <c r="BK180"/>
  <c r="BJ180"/>
  <c r="X222"/>
  <c r="X224"/>
  <c r="AV230"/>
  <c r="AV234"/>
  <c r="BJ234"/>
  <c r="Y237"/>
  <c r="AJ237"/>
  <c r="AV237"/>
  <c r="BK237"/>
  <c r="DF236"/>
  <c r="BA236"/>
  <c r="BC236"/>
  <c r="BE236"/>
  <c r="BG236"/>
  <c r="BB236"/>
  <c r="BB169" s="1"/>
  <c r="BF236"/>
  <c r="BJ257"/>
  <c r="BM265"/>
  <c r="CF269"/>
  <c r="Y308"/>
  <c r="BI310"/>
  <c r="CB336"/>
  <c r="BD169"/>
  <c r="BD332" s="1"/>
  <c r="BD334" s="1"/>
  <c r="BD337" s="1"/>
  <c r="BD338" s="1"/>
  <c r="CB251"/>
  <c r="DB45"/>
  <c r="DB31"/>
  <c r="BY338"/>
  <c r="BY31"/>
  <c r="CA32"/>
  <c r="X24"/>
  <c r="X23" s="1"/>
  <c r="BX335"/>
  <c r="BX337" s="1"/>
  <c r="BX333"/>
  <c r="DD335"/>
  <c r="CC44"/>
  <c r="CA44"/>
  <c r="BZ42"/>
  <c r="BK55"/>
  <c r="BJ55"/>
  <c r="BY55"/>
  <c r="CC56"/>
  <c r="CA56"/>
  <c r="CB56"/>
  <c r="AJ58"/>
  <c r="AK58"/>
  <c r="AJ73"/>
  <c r="AK73"/>
  <c r="AX76"/>
  <c r="L76"/>
  <c r="L73" s="1"/>
  <c r="X90"/>
  <c r="Y90"/>
  <c r="CC144"/>
  <c r="CA144"/>
  <c r="CB144"/>
  <c r="CD144"/>
  <c r="K167"/>
  <c r="I136"/>
  <c r="I168" s="1"/>
  <c r="I332" s="1"/>
  <c r="I334" s="1"/>
  <c r="I337" s="1"/>
  <c r="CC234"/>
  <c r="CA234"/>
  <c r="CB234"/>
  <c r="AN23"/>
  <c r="AW23" s="1"/>
  <c r="AW24"/>
  <c r="BK24"/>
  <c r="CA27"/>
  <c r="CB28"/>
  <c r="BJ31"/>
  <c r="DF335"/>
  <c r="CB32"/>
  <c r="DE335"/>
  <c r="DG335"/>
  <c r="CB33"/>
  <c r="BZ40"/>
  <c r="M31"/>
  <c r="DB42"/>
  <c r="CB44"/>
  <c r="M53"/>
  <c r="O168"/>
  <c r="AW53"/>
  <c r="AK55"/>
  <c r="AC53"/>
  <c r="AJ55"/>
  <c r="AV55"/>
  <c r="AW55"/>
  <c r="CD56"/>
  <c r="CC57"/>
  <c r="CA57"/>
  <c r="CB57"/>
  <c r="CC58"/>
  <c r="AX59"/>
  <c r="L59"/>
  <c r="L55" s="1"/>
  <c r="L53" s="1"/>
  <c r="BY59"/>
  <c r="CA59" s="1"/>
  <c r="DD168"/>
  <c r="DD332" s="1"/>
  <c r="K88"/>
  <c r="T88" s="1"/>
  <c r="AX90"/>
  <c r="L90"/>
  <c r="I90"/>
  <c r="K90" s="1"/>
  <c r="T90" s="1"/>
  <c r="CC90"/>
  <c r="CD90"/>
  <c r="V168"/>
  <c r="V332" s="1"/>
  <c r="V340" s="1"/>
  <c r="AT168"/>
  <c r="AT332" s="1"/>
  <c r="AT340" s="1"/>
  <c r="BZ137"/>
  <c r="M136"/>
  <c r="BZ136" s="1"/>
  <c r="AJ137"/>
  <c r="X140"/>
  <c r="Y140"/>
  <c r="DG138"/>
  <c r="DF140"/>
  <c r="DF141"/>
  <c r="DF137" s="1"/>
  <c r="DF136" s="1"/>
  <c r="AY338"/>
  <c r="AY340" s="1"/>
  <c r="CE333"/>
  <c r="CE342"/>
  <c r="H168"/>
  <c r="H332" s="1"/>
  <c r="H334" s="1"/>
  <c r="H337" s="1"/>
  <c r="X58"/>
  <c r="CB73"/>
  <c r="DG73"/>
  <c r="T87"/>
  <c r="DG87"/>
  <c r="DG93"/>
  <c r="DF109"/>
  <c r="AX137"/>
  <c r="G136"/>
  <c r="AX136" s="1"/>
  <c r="BK137"/>
  <c r="L140"/>
  <c r="L137"/>
  <c r="L136" s="1"/>
  <c r="T140"/>
  <c r="T137"/>
  <c r="CD137"/>
  <c r="AV140"/>
  <c r="AW140"/>
  <c r="CC141"/>
  <c r="CA141"/>
  <c r="CB141"/>
  <c r="X138"/>
  <c r="CB138"/>
  <c r="X142"/>
  <c r="AJ142"/>
  <c r="AV142"/>
  <c r="BK142"/>
  <c r="BJ145"/>
  <c r="AK169"/>
  <c r="AZ169"/>
  <c r="AZ332" s="1"/>
  <c r="DA169"/>
  <c r="DE169"/>
  <c r="BZ171"/>
  <c r="M169"/>
  <c r="BZ169" s="1"/>
  <c r="X171"/>
  <c r="AK171"/>
  <c r="BK171"/>
  <c r="L171"/>
  <c r="L169" s="1"/>
  <c r="AW174"/>
  <c r="BG170"/>
  <c r="CC175"/>
  <c r="CA175"/>
  <c r="CD175"/>
  <c r="CD171" s="1"/>
  <c r="CD169" s="1"/>
  <c r="DF175"/>
  <c r="DF171" s="1"/>
  <c r="DF170" s="1"/>
  <c r="AK176"/>
  <c r="BJ176"/>
  <c r="BA170"/>
  <c r="CC176"/>
  <c r="CA176"/>
  <c r="X180"/>
  <c r="AK180"/>
  <c r="CC180"/>
  <c r="Y201"/>
  <c r="Y209"/>
  <c r="Y213"/>
  <c r="BZ230"/>
  <c r="X230"/>
  <c r="AK230"/>
  <c r="AW230"/>
  <c r="X234"/>
  <c r="AK234"/>
  <c r="AW234"/>
  <c r="F236"/>
  <c r="E236"/>
  <c r="E169" s="1"/>
  <c r="G236"/>
  <c r="G169" s="1"/>
  <c r="AX169" s="1"/>
  <c r="BZ237"/>
  <c r="X237"/>
  <c r="AK237"/>
  <c r="DB236"/>
  <c r="DB169" s="1"/>
  <c r="AY240"/>
  <c r="AY237"/>
  <c r="AY236" s="1"/>
  <c r="AY169" s="1"/>
  <c r="DG237"/>
  <c r="DG236" s="1"/>
  <c r="DG240"/>
  <c r="M247"/>
  <c r="BZ247" s="1"/>
  <c r="AZ247"/>
  <c r="BJ247" s="1"/>
  <c r="Y251"/>
  <c r="X251"/>
  <c r="BK251"/>
  <c r="CC251"/>
  <c r="X257"/>
  <c r="Y257"/>
  <c r="AJ257"/>
  <c r="AC251"/>
  <c r="BK257"/>
  <c r="AA265"/>
  <c r="CC272"/>
  <c r="CF272"/>
  <c r="BZ268"/>
  <c r="CC268" s="1"/>
  <c r="CC277"/>
  <c r="BZ276"/>
  <c r="CC276" s="1"/>
  <c r="CC294"/>
  <c r="BZ293"/>
  <c r="CC293" s="1"/>
  <c r="BA298"/>
  <c r="AJ308"/>
  <c r="AC298"/>
  <c r="AK308"/>
  <c r="AX171"/>
  <c r="CC173"/>
  <c r="CA173"/>
  <c r="X247"/>
  <c r="BK247"/>
  <c r="CA251"/>
  <c r="AV257"/>
  <c r="AO251"/>
  <c r="CC257"/>
  <c r="CA257"/>
  <c r="CB257"/>
  <c r="CC292"/>
  <c r="BZ291"/>
  <c r="CC291" s="1"/>
  <c r="CC296"/>
  <c r="BZ295"/>
  <c r="CC295" s="1"/>
  <c r="BJ308"/>
  <c r="CB143"/>
  <c r="CB172"/>
  <c r="DF240"/>
  <c r="CC267"/>
  <c r="BZ266"/>
  <c r="BH268"/>
  <c r="BH265" s="1"/>
  <c r="BH332" s="1"/>
  <c r="BH334" s="1"/>
  <c r="BH337" s="1"/>
  <c r="X298"/>
  <c r="AM298"/>
  <c r="AM332" s="1"/>
  <c r="AV308"/>
  <c r="AO298"/>
  <c r="CB335"/>
  <c r="DG262" i="9"/>
  <c r="DG256"/>
  <c r="DG260"/>
  <c r="DG261"/>
  <c r="DF29"/>
  <c r="DF245"/>
  <c r="DF246"/>
  <c r="DG246" s="1"/>
  <c r="DF247"/>
  <c r="DG247" s="1"/>
  <c r="DF248"/>
  <c r="DG248" s="1"/>
  <c r="DF249"/>
  <c r="DG249" s="1"/>
  <c r="DF250"/>
  <c r="DG250" s="1"/>
  <c r="DF251"/>
  <c r="DG251" s="1"/>
  <c r="DF252"/>
  <c r="DG252" s="1"/>
  <c r="DF253"/>
  <c r="DG253" s="1"/>
  <c r="DF254"/>
  <c r="DG254" s="1"/>
  <c r="DF244"/>
  <c r="DG244" s="1"/>
  <c r="DF241"/>
  <c r="DG241" s="1"/>
  <c r="DF236"/>
  <c r="DF238" s="1"/>
  <c r="DF225"/>
  <c r="DF226"/>
  <c r="DF227"/>
  <c r="DF228"/>
  <c r="DF229"/>
  <c r="DF230"/>
  <c r="DF231"/>
  <c r="DF221"/>
  <c r="DF222"/>
  <c r="DF223"/>
  <c r="DF224"/>
  <c r="DG221"/>
  <c r="DG222"/>
  <c r="DG223"/>
  <c r="DG224"/>
  <c r="DG225"/>
  <c r="DG226"/>
  <c r="DG227"/>
  <c r="DG228"/>
  <c r="DG229"/>
  <c r="DG230"/>
  <c r="DG231"/>
  <c r="DF198"/>
  <c r="DG198" s="1"/>
  <c r="DF199"/>
  <c r="DG199" s="1"/>
  <c r="DF200"/>
  <c r="DG200" s="1"/>
  <c r="DF201"/>
  <c r="DG201" s="1"/>
  <c r="DF202"/>
  <c r="DG202" s="1"/>
  <c r="DF203"/>
  <c r="DG203" s="1"/>
  <c r="DF204"/>
  <c r="DG204" s="1"/>
  <c r="DF205"/>
  <c r="DG205"/>
  <c r="DF206"/>
  <c r="DG206"/>
  <c r="DF207"/>
  <c r="DG207"/>
  <c r="DF208"/>
  <c r="DG208"/>
  <c r="DF209"/>
  <c r="DG209" s="1"/>
  <c r="DF210"/>
  <c r="DG210" s="1"/>
  <c r="DF211"/>
  <c r="DG211"/>
  <c r="DF212"/>
  <c r="DG212" s="1"/>
  <c r="DF213"/>
  <c r="DG213" s="1"/>
  <c r="DF214"/>
  <c r="DG214" s="1"/>
  <c r="DF215"/>
  <c r="DG215" s="1"/>
  <c r="DF216"/>
  <c r="DG216" s="1"/>
  <c r="DF217"/>
  <c r="DG217" s="1"/>
  <c r="DF218"/>
  <c r="DG218" s="1"/>
  <c r="DF219"/>
  <c r="DG219" s="1"/>
  <c r="DF220"/>
  <c r="DG220" s="1"/>
  <c r="DF183"/>
  <c r="DF184"/>
  <c r="DF185"/>
  <c r="DF186"/>
  <c r="DF187"/>
  <c r="DF188"/>
  <c r="DF189"/>
  <c r="DF190"/>
  <c r="DF191"/>
  <c r="DG191" s="1"/>
  <c r="DF192"/>
  <c r="DF193"/>
  <c r="DF194"/>
  <c r="DF195"/>
  <c r="DF196"/>
  <c r="DF197"/>
  <c r="DF179"/>
  <c r="DG179" s="1"/>
  <c r="DF180"/>
  <c r="DG180" s="1"/>
  <c r="DF181"/>
  <c r="DG181" s="1"/>
  <c r="DF182"/>
  <c r="DG182" s="1"/>
  <c r="DF178"/>
  <c r="DF170"/>
  <c r="DF172" s="1"/>
  <c r="DF146"/>
  <c r="DG146" s="1"/>
  <c r="DF137"/>
  <c r="DF140" s="1"/>
  <c r="DF136" s="1"/>
  <c r="DF135" s="1"/>
  <c r="DF112"/>
  <c r="DG112"/>
  <c r="DF113"/>
  <c r="DG113"/>
  <c r="DF114"/>
  <c r="DG114"/>
  <c r="DF115"/>
  <c r="DG115"/>
  <c r="DF116"/>
  <c r="DG116"/>
  <c r="DF117"/>
  <c r="DG117"/>
  <c r="DF118"/>
  <c r="DG118"/>
  <c r="DF119"/>
  <c r="DG119"/>
  <c r="DF120"/>
  <c r="DG120"/>
  <c r="DF121"/>
  <c r="DG121"/>
  <c r="DF122"/>
  <c r="DG122"/>
  <c r="DF123"/>
  <c r="DG123"/>
  <c r="DF124"/>
  <c r="DG124"/>
  <c r="DF125"/>
  <c r="DG125"/>
  <c r="DF126"/>
  <c r="DG126"/>
  <c r="DF127"/>
  <c r="DG127"/>
  <c r="DF128"/>
  <c r="DG128"/>
  <c r="DF129"/>
  <c r="DG129"/>
  <c r="DF130"/>
  <c r="DG130"/>
  <c r="DF131"/>
  <c r="DG131"/>
  <c r="DF132"/>
  <c r="DG132"/>
  <c r="DF133"/>
  <c r="DG133"/>
  <c r="DF102"/>
  <c r="DF103"/>
  <c r="DF104"/>
  <c r="DF105"/>
  <c r="DF106"/>
  <c r="DF107"/>
  <c r="DF109"/>
  <c r="DF110"/>
  <c r="DF108" s="1"/>
  <c r="DF111"/>
  <c r="DG111" s="1"/>
  <c r="DF96"/>
  <c r="DG96" s="1"/>
  <c r="DF95"/>
  <c r="DG95" s="1"/>
  <c r="DF94"/>
  <c r="DG94" s="1"/>
  <c r="DF92"/>
  <c r="DG92" s="1"/>
  <c r="DG91" s="1"/>
  <c r="DF87"/>
  <c r="DF88"/>
  <c r="DG88"/>
  <c r="DF89"/>
  <c r="DG89"/>
  <c r="DF90"/>
  <c r="DG90"/>
  <c r="DF86"/>
  <c r="DG86"/>
  <c r="DF82"/>
  <c r="DF83"/>
  <c r="DF84"/>
  <c r="DG84" s="1"/>
  <c r="DF77"/>
  <c r="DF78"/>
  <c r="DF79"/>
  <c r="DF80"/>
  <c r="DF81"/>
  <c r="DG81"/>
  <c r="DF76"/>
  <c r="DG77"/>
  <c r="DG76"/>
  <c r="DG62"/>
  <c r="DG67"/>
  <c r="DG66"/>
  <c r="DG59"/>
  <c r="DG60"/>
  <c r="DG63"/>
  <c r="DG58"/>
  <c r="DF73"/>
  <c r="DF72"/>
  <c r="DG56"/>
  <c r="DF56"/>
  <c r="DF30"/>
  <c r="DF31"/>
  <c r="DG296"/>
  <c r="DG263"/>
  <c r="DG192"/>
  <c r="DG193"/>
  <c r="DG194"/>
  <c r="DG195"/>
  <c r="DG196"/>
  <c r="DG172"/>
  <c r="DE296"/>
  <c r="DE263"/>
  <c r="DE239"/>
  <c r="DE238"/>
  <c r="DE235"/>
  <c r="DE234" s="1"/>
  <c r="DE233"/>
  <c r="DF233" s="1"/>
  <c r="DG233" s="1"/>
  <c r="DE173"/>
  <c r="DE172"/>
  <c r="DE169"/>
  <c r="DE168" s="1"/>
  <c r="DE145"/>
  <c r="DE140"/>
  <c r="DE139"/>
  <c r="DE136"/>
  <c r="DE135" s="1"/>
  <c r="DE108"/>
  <c r="DE98"/>
  <c r="DE93"/>
  <c r="DF93" s="1"/>
  <c r="DG93" s="1"/>
  <c r="DE85"/>
  <c r="DE74"/>
  <c r="DF74" s="1"/>
  <c r="DE68"/>
  <c r="DE58"/>
  <c r="DE57"/>
  <c r="DE56"/>
  <c r="DE55"/>
  <c r="DE52"/>
  <c r="DE39"/>
  <c r="DE31"/>
  <c r="DE30"/>
  <c r="DE29"/>
  <c r="DE28"/>
  <c r="DE333" s="1"/>
  <c r="DE20"/>
  <c r="DG87"/>
  <c r="DG82"/>
  <c r="DG75"/>
  <c r="DG78"/>
  <c r="DG79"/>
  <c r="DG80"/>
  <c r="DG64"/>
  <c r="DG65"/>
  <c r="DG29"/>
  <c r="DG22"/>
  <c r="DG23"/>
  <c r="DG30"/>
  <c r="DG31"/>
  <c r="DG20"/>
  <c r="BY339"/>
  <c r="DD338"/>
  <c r="BZ338"/>
  <c r="D338"/>
  <c r="BL335"/>
  <c r="BL340"/>
  <c r="O335"/>
  <c r="BZ334"/>
  <c r="BY334"/>
  <c r="BH334"/>
  <c r="BZ333"/>
  <c r="CD333"/>
  <c r="BY333"/>
  <c r="AX333"/>
  <c r="BZ332"/>
  <c r="Y330"/>
  <c r="X330"/>
  <c r="BI329"/>
  <c r="BZ328"/>
  <c r="CC328"/>
  <c r="BJ328"/>
  <c r="BI328"/>
  <c r="BM327"/>
  <c r="BJ327"/>
  <c r="BI327"/>
  <c r="AM327"/>
  <c r="AA327"/>
  <c r="M327"/>
  <c r="BZ326"/>
  <c r="CC326" s="1"/>
  <c r="BA326"/>
  <c r="BJ326" s="1"/>
  <c r="BM325"/>
  <c r="BI325"/>
  <c r="BA325"/>
  <c r="BJ325" s="1"/>
  <c r="AO325"/>
  <c r="AM325"/>
  <c r="AC325"/>
  <c r="AA325"/>
  <c r="O325"/>
  <c r="M325"/>
  <c r="BZ324"/>
  <c r="CC324" s="1"/>
  <c r="BJ324"/>
  <c r="BI324"/>
  <c r="BI323"/>
  <c r="BM322"/>
  <c r="BJ322"/>
  <c r="AO322"/>
  <c r="AM322"/>
  <c r="AC322"/>
  <c r="AA322"/>
  <c r="O322"/>
  <c r="M322"/>
  <c r="BI321"/>
  <c r="BI320"/>
  <c r="BI319"/>
  <c r="BI318"/>
  <c r="BZ316"/>
  <c r="CC316" s="1"/>
  <c r="BJ316"/>
  <c r="BI316"/>
  <c r="BI315"/>
  <c r="BI314"/>
  <c r="BI312"/>
  <c r="BI311"/>
  <c r="BZ309"/>
  <c r="CC309" s="1"/>
  <c r="BJ309"/>
  <c r="BM308"/>
  <c r="BJ308"/>
  <c r="AO308"/>
  <c r="AM308"/>
  <c r="AC308"/>
  <c r="AA308"/>
  <c r="O308"/>
  <c r="M308"/>
  <c r="BZ307"/>
  <c r="CC307" s="1"/>
  <c r="BA307"/>
  <c r="BJ307" s="1"/>
  <c r="Y307"/>
  <c r="X307"/>
  <c r="DB306"/>
  <c r="DB296" s="1"/>
  <c r="DA306"/>
  <c r="BM306"/>
  <c r="BM296" s="1"/>
  <c r="BD306"/>
  <c r="BC306"/>
  <c r="BB306"/>
  <c r="AZ306"/>
  <c r="AY306"/>
  <c r="AX306"/>
  <c r="AS306"/>
  <c r="AS296" s="1"/>
  <c r="AR306"/>
  <c r="AR296" s="1"/>
  <c r="AQ306"/>
  <c r="AQ296" s="1"/>
  <c r="AP306"/>
  <c r="AP296" s="1"/>
  <c r="AO306"/>
  <c r="AN306"/>
  <c r="AN296" s="1"/>
  <c r="AM306"/>
  <c r="AL306"/>
  <c r="AG306"/>
  <c r="AG296" s="1"/>
  <c r="AF306"/>
  <c r="AF296" s="1"/>
  <c r="AE306"/>
  <c r="AE296" s="1"/>
  <c r="AD306"/>
  <c r="AC306"/>
  <c r="AB306"/>
  <c r="AB296" s="1"/>
  <c r="AA306"/>
  <c r="Z306"/>
  <c r="Z296" s="1"/>
  <c r="U306"/>
  <c r="U296" s="1"/>
  <c r="T306"/>
  <c r="S306"/>
  <c r="S296" s="1"/>
  <c r="R306"/>
  <c r="O306"/>
  <c r="N306"/>
  <c r="M306"/>
  <c r="L306"/>
  <c r="L296" s="1"/>
  <c r="K306"/>
  <c r="J306"/>
  <c r="J296" s="1"/>
  <c r="I306"/>
  <c r="H306"/>
  <c r="H296" s="1"/>
  <c r="BI305"/>
  <c r="BI302" s="1"/>
  <c r="BI304"/>
  <c r="BI303"/>
  <c r="BI301"/>
  <c r="BI300"/>
  <c r="BI298"/>
  <c r="BI297" s="1"/>
  <c r="DF296"/>
  <c r="DD296"/>
  <c r="DC296"/>
  <c r="DA296"/>
  <c r="CE296"/>
  <c r="CD296"/>
  <c r="BH296"/>
  <c r="BG296"/>
  <c r="BF296"/>
  <c r="BE296"/>
  <c r="BD296"/>
  <c r="BC296"/>
  <c r="BB296"/>
  <c r="AX296"/>
  <c r="AL296"/>
  <c r="AD296"/>
  <c r="T296"/>
  <c r="N296"/>
  <c r="K296"/>
  <c r="I296"/>
  <c r="G296"/>
  <c r="F296"/>
  <c r="BY296" s="1"/>
  <c r="E296"/>
  <c r="D296"/>
  <c r="BZ295"/>
  <c r="CC295" s="1"/>
  <c r="BJ295"/>
  <c r="BZ294"/>
  <c r="BJ294"/>
  <c r="BH294"/>
  <c r="CF293"/>
  <c r="BM293"/>
  <c r="BJ293"/>
  <c r="BH293"/>
  <c r="AU293"/>
  <c r="AM293"/>
  <c r="AI293"/>
  <c r="AA293"/>
  <c r="W293"/>
  <c r="M293"/>
  <c r="BZ292"/>
  <c r="BJ292"/>
  <c r="BH292"/>
  <c r="CF291"/>
  <c r="BM291"/>
  <c r="BJ291"/>
  <c r="BH291"/>
  <c r="BZ290"/>
  <c r="BJ290"/>
  <c r="BH290"/>
  <c r="CF289"/>
  <c r="BM289"/>
  <c r="BJ289"/>
  <c r="BH289"/>
  <c r="BZ288"/>
  <c r="CC288" s="1"/>
  <c r="BJ288"/>
  <c r="BZ287"/>
  <c r="CC287" s="1"/>
  <c r="BJ287"/>
  <c r="BZ286"/>
  <c r="CC286" s="1"/>
  <c r="BJ286"/>
  <c r="BF285"/>
  <c r="BF274" s="1"/>
  <c r="BH283"/>
  <c r="BZ282"/>
  <c r="CC282" s="1"/>
  <c r="BJ282"/>
  <c r="BH282"/>
  <c r="BZ281"/>
  <c r="CC281" s="1"/>
  <c r="BJ281"/>
  <c r="BZ280"/>
  <c r="CC280" s="1"/>
  <c r="BJ280"/>
  <c r="BH280"/>
  <c r="BZ278"/>
  <c r="CC278" s="1"/>
  <c r="BJ278"/>
  <c r="BH276"/>
  <c r="BZ275"/>
  <c r="BJ275"/>
  <c r="BH275"/>
  <c r="CF274"/>
  <c r="BM274"/>
  <c r="BJ274"/>
  <c r="AU274"/>
  <c r="AM274"/>
  <c r="AI274"/>
  <c r="AA274"/>
  <c r="W274"/>
  <c r="M274"/>
  <c r="BH272"/>
  <c r="BH271" s="1"/>
  <c r="BZ270"/>
  <c r="CF270" s="1"/>
  <c r="BJ270"/>
  <c r="BF270"/>
  <c r="BH270" s="1"/>
  <c r="BM269"/>
  <c r="BJ269"/>
  <c r="AM269"/>
  <c r="AA269"/>
  <c r="M269"/>
  <c r="BJ268"/>
  <c r="BZ267"/>
  <c r="BJ267"/>
  <c r="BH267"/>
  <c r="CE266"/>
  <c r="BM266"/>
  <c r="BJ266"/>
  <c r="AU266"/>
  <c r="AM266"/>
  <c r="AI266"/>
  <c r="AA266"/>
  <c r="W266"/>
  <c r="M266"/>
  <c r="BZ265"/>
  <c r="BJ265"/>
  <c r="BH265"/>
  <c r="BH264" s="1"/>
  <c r="CF264"/>
  <c r="BM264"/>
  <c r="BJ264"/>
  <c r="AU264"/>
  <c r="AU263" s="1"/>
  <c r="AU330" s="1"/>
  <c r="AM264"/>
  <c r="AI264"/>
  <c r="AI263" s="1"/>
  <c r="AI330" s="1"/>
  <c r="AA264"/>
  <c r="W264"/>
  <c r="W263" s="1"/>
  <c r="W330" s="1"/>
  <c r="M264"/>
  <c r="M263"/>
  <c r="DF263"/>
  <c r="DD263"/>
  <c r="DC263"/>
  <c r="DB263"/>
  <c r="DA263"/>
  <c r="AY263"/>
  <c r="G263"/>
  <c r="F263"/>
  <c r="E263"/>
  <c r="D263"/>
  <c r="AY260"/>
  <c r="DB255"/>
  <c r="CE255"/>
  <c r="CD255"/>
  <c r="CD249"/>
  <c r="CD245" s="1"/>
  <c r="BX255"/>
  <c r="BM255"/>
  <c r="BG255"/>
  <c r="BF255"/>
  <c r="BE255"/>
  <c r="BD255"/>
  <c r="BC255"/>
  <c r="BB255"/>
  <c r="BA255"/>
  <c r="BK255" s="1"/>
  <c r="AZ255"/>
  <c r="AY255"/>
  <c r="AS255"/>
  <c r="AS249" s="1"/>
  <c r="AS245" s="1"/>
  <c r="AR255"/>
  <c r="AQ255"/>
  <c r="AQ249"/>
  <c r="AP255"/>
  <c r="AO255"/>
  <c r="AW255" s="1"/>
  <c r="AN255"/>
  <c r="AM255"/>
  <c r="AM249" s="1"/>
  <c r="AM245" s="1"/>
  <c r="AL255"/>
  <c r="AG255"/>
  <c r="AG249"/>
  <c r="AF255"/>
  <c r="AE255"/>
  <c r="AE249" s="1"/>
  <c r="AE245" s="1"/>
  <c r="AD255"/>
  <c r="AC255"/>
  <c r="AB255"/>
  <c r="AA255"/>
  <c r="AA249" s="1"/>
  <c r="AA245" s="1"/>
  <c r="Z255"/>
  <c r="U255"/>
  <c r="U249"/>
  <c r="T255"/>
  <c r="S255"/>
  <c r="S249" s="1"/>
  <c r="S245" s="1"/>
  <c r="O255"/>
  <c r="Y255" s="1"/>
  <c r="X255"/>
  <c r="N255"/>
  <c r="N249"/>
  <c r="M255"/>
  <c r="BZ255" s="1"/>
  <c r="CC255" s="1"/>
  <c r="L255"/>
  <c r="L249" s="1"/>
  <c r="L245" s="1"/>
  <c r="K255"/>
  <c r="J255"/>
  <c r="J249"/>
  <c r="J245" s="1"/>
  <c r="I255"/>
  <c r="H255"/>
  <c r="H249" s="1"/>
  <c r="H245" s="1"/>
  <c r="G255"/>
  <c r="AX255" s="1"/>
  <c r="F255"/>
  <c r="BY255" s="1"/>
  <c r="E255"/>
  <c r="D255"/>
  <c r="DB249"/>
  <c r="CE249"/>
  <c r="CE245"/>
  <c r="BX249"/>
  <c r="BM249"/>
  <c r="BM245" s="1"/>
  <c r="BG249"/>
  <c r="BF249"/>
  <c r="BE249"/>
  <c r="BD249"/>
  <c r="BC249"/>
  <c r="BB249"/>
  <c r="BA249"/>
  <c r="AZ249"/>
  <c r="AZ245" s="1"/>
  <c r="AY249"/>
  <c r="AR249"/>
  <c r="AR245" s="1"/>
  <c r="AP249"/>
  <c r="AP245" s="1"/>
  <c r="AN249"/>
  <c r="AN245" s="1"/>
  <c r="AL249"/>
  <c r="AL245" s="1"/>
  <c r="AF249"/>
  <c r="AF245" s="1"/>
  <c r="AD249"/>
  <c r="AD245" s="1"/>
  <c r="AB249"/>
  <c r="AB245" s="1"/>
  <c r="Z249"/>
  <c r="Z245" s="1"/>
  <c r="T249"/>
  <c r="T245" s="1"/>
  <c r="O249"/>
  <c r="X249" s="1"/>
  <c r="M249"/>
  <c r="M245" s="1"/>
  <c r="BZ245" s="1"/>
  <c r="K249"/>
  <c r="K245" s="1"/>
  <c r="I249"/>
  <c r="I245" s="1"/>
  <c r="G249"/>
  <c r="AX249" s="1"/>
  <c r="F249"/>
  <c r="BY249" s="1"/>
  <c r="E249"/>
  <c r="D249"/>
  <c r="DB245"/>
  <c r="BX245"/>
  <c r="BG245"/>
  <c r="BF245"/>
  <c r="BE245"/>
  <c r="BD245"/>
  <c r="BC245"/>
  <c r="BB245"/>
  <c r="BA245"/>
  <c r="AY245"/>
  <c r="AQ245"/>
  <c r="AG245"/>
  <c r="U245"/>
  <c r="N245"/>
  <c r="G245"/>
  <c r="AX245" s="1"/>
  <c r="F245"/>
  <c r="BY245" s="1"/>
  <c r="E245"/>
  <c r="D245"/>
  <c r="DB244"/>
  <c r="DA244"/>
  <c r="DB240"/>
  <c r="DA240"/>
  <c r="BG240"/>
  <c r="BF240"/>
  <c r="BE240"/>
  <c r="BD240"/>
  <c r="BC240"/>
  <c r="BB240"/>
  <c r="BA240"/>
  <c r="AY240"/>
  <c r="G240"/>
  <c r="F240"/>
  <c r="E240"/>
  <c r="D240"/>
  <c r="DF239"/>
  <c r="DF235"/>
  <c r="DF234" s="1"/>
  <c r="DB239"/>
  <c r="DB235" s="1"/>
  <c r="DA239"/>
  <c r="BG239"/>
  <c r="BD239"/>
  <c r="BB239"/>
  <c r="BB235" s="1"/>
  <c r="BB234" s="1"/>
  <c r="DD238"/>
  <c r="DC238"/>
  <c r="DB238"/>
  <c r="DA238"/>
  <c r="G238"/>
  <c r="F238"/>
  <c r="E238"/>
  <c r="D238"/>
  <c r="AY236"/>
  <c r="AY238" s="1"/>
  <c r="DD235"/>
  <c r="DC235"/>
  <c r="DC234" s="1"/>
  <c r="DA235"/>
  <c r="DA234" s="1"/>
  <c r="CE235"/>
  <c r="CD235"/>
  <c r="BX235"/>
  <c r="BM235"/>
  <c r="BG235"/>
  <c r="BG234" s="1"/>
  <c r="BF235"/>
  <c r="BF234" s="1"/>
  <c r="BE235"/>
  <c r="BD235"/>
  <c r="BC235"/>
  <c r="BA235"/>
  <c r="AZ235"/>
  <c r="AY235"/>
  <c r="AS235"/>
  <c r="AR235"/>
  <c r="AQ235"/>
  <c r="AP235"/>
  <c r="AO235"/>
  <c r="AN235"/>
  <c r="AM235"/>
  <c r="AL235"/>
  <c r="AG235"/>
  <c r="AF235"/>
  <c r="AE235"/>
  <c r="AD235"/>
  <c r="AC235"/>
  <c r="AJ235"/>
  <c r="AB235"/>
  <c r="AA235"/>
  <c r="Z235"/>
  <c r="U235"/>
  <c r="T235"/>
  <c r="S235"/>
  <c r="O235"/>
  <c r="N235"/>
  <c r="M235"/>
  <c r="BZ235"/>
  <c r="L235"/>
  <c r="K235"/>
  <c r="J235"/>
  <c r="I235"/>
  <c r="H235"/>
  <c r="G235"/>
  <c r="F235"/>
  <c r="E235"/>
  <c r="E234" s="1"/>
  <c r="D235"/>
  <c r="D234"/>
  <c r="DD234"/>
  <c r="BA234"/>
  <c r="BZ233"/>
  <c r="CC233" s="1"/>
  <c r="BJ233"/>
  <c r="DB232"/>
  <c r="DA232"/>
  <c r="CE232"/>
  <c r="CE228" s="1"/>
  <c r="CD232"/>
  <c r="CD228" s="1"/>
  <c r="BY232"/>
  <c r="BX232"/>
  <c r="BM232"/>
  <c r="BM228" s="1"/>
  <c r="BZ228" s="1"/>
  <c r="BG232"/>
  <c r="BF232"/>
  <c r="BE232"/>
  <c r="BD232"/>
  <c r="BC232"/>
  <c r="BB232"/>
  <c r="BA232"/>
  <c r="AZ232"/>
  <c r="AZ228" s="1"/>
  <c r="AX232"/>
  <c r="AS232"/>
  <c r="AS228" s="1"/>
  <c r="AR232"/>
  <c r="AR228" s="1"/>
  <c r="AQ232"/>
  <c r="AQ228" s="1"/>
  <c r="AP232"/>
  <c r="AO232"/>
  <c r="AN232"/>
  <c r="AM232"/>
  <c r="AL232"/>
  <c r="AG232"/>
  <c r="AG228" s="1"/>
  <c r="AF232"/>
  <c r="AF228" s="1"/>
  <c r="AE232"/>
  <c r="AE228" s="1"/>
  <c r="AD232"/>
  <c r="AD228" s="1"/>
  <c r="AC232"/>
  <c r="AJ232" s="1"/>
  <c r="AB232"/>
  <c r="AA232"/>
  <c r="AA228" s="1"/>
  <c r="Z232"/>
  <c r="U232"/>
  <c r="T232"/>
  <c r="S232"/>
  <c r="O232"/>
  <c r="N232"/>
  <c r="N228" s="1"/>
  <c r="M232"/>
  <c r="L232"/>
  <c r="L228" s="1"/>
  <c r="K232"/>
  <c r="K228" s="1"/>
  <c r="J232"/>
  <c r="J228" s="1"/>
  <c r="I232"/>
  <c r="I228"/>
  <c r="H232"/>
  <c r="H228" s="1"/>
  <c r="E232"/>
  <c r="D232"/>
  <c r="BY228"/>
  <c r="BX228"/>
  <c r="BG228"/>
  <c r="BF228"/>
  <c r="BE228"/>
  <c r="BD228"/>
  <c r="BC228"/>
  <c r="BB228"/>
  <c r="BA228"/>
  <c r="AY228"/>
  <c r="AX228"/>
  <c r="AP228"/>
  <c r="AN228"/>
  <c r="AM228"/>
  <c r="AL228"/>
  <c r="AB228"/>
  <c r="Z228"/>
  <c r="U228"/>
  <c r="T228"/>
  <c r="S228"/>
  <c r="O228"/>
  <c r="BZ222"/>
  <c r="CC222" s="1"/>
  <c r="BK222"/>
  <c r="BJ222"/>
  <c r="AX222"/>
  <c r="AW222"/>
  <c r="AV222"/>
  <c r="AK222"/>
  <c r="AJ222"/>
  <c r="N222"/>
  <c r="X222" s="1"/>
  <c r="L222"/>
  <c r="BZ220"/>
  <c r="CC220" s="1"/>
  <c r="BK220"/>
  <c r="BJ220"/>
  <c r="AY220"/>
  <c r="AX220"/>
  <c r="AW220"/>
  <c r="AV220"/>
  <c r="AK220"/>
  <c r="AJ220"/>
  <c r="N220"/>
  <c r="Y220" s="1"/>
  <c r="L220"/>
  <c r="BZ218"/>
  <c r="CC218" s="1"/>
  <c r="BJ218"/>
  <c r="BZ217"/>
  <c r="CC217" s="1"/>
  <c r="BJ217"/>
  <c r="BG214"/>
  <c r="BK212"/>
  <c r="BJ212"/>
  <c r="AX212"/>
  <c r="AW212"/>
  <c r="AV212"/>
  <c r="AK212"/>
  <c r="AJ212"/>
  <c r="N212"/>
  <c r="Y212" s="1"/>
  <c r="L212"/>
  <c r="BZ211"/>
  <c r="CC211" s="1"/>
  <c r="BK211"/>
  <c r="BJ211"/>
  <c r="AX211"/>
  <c r="AW211"/>
  <c r="AV211"/>
  <c r="AK211"/>
  <c r="AJ211"/>
  <c r="N211"/>
  <c r="X211" s="1"/>
  <c r="L211"/>
  <c r="BZ210"/>
  <c r="CC210" s="1"/>
  <c r="BJ210"/>
  <c r="BK207"/>
  <c r="BJ207"/>
  <c r="AX207"/>
  <c r="AW207"/>
  <c r="AV207"/>
  <c r="AK207"/>
  <c r="AJ207"/>
  <c r="N207"/>
  <c r="X207" s="1"/>
  <c r="L207"/>
  <c r="BJ206"/>
  <c r="BZ205"/>
  <c r="CC205" s="1"/>
  <c r="BJ205"/>
  <c r="BZ202"/>
  <c r="CC202" s="1"/>
  <c r="BK202"/>
  <c r="BJ202"/>
  <c r="AX202"/>
  <c r="AW202"/>
  <c r="AV202"/>
  <c r="AK202"/>
  <c r="AJ202"/>
  <c r="N202"/>
  <c r="X202" s="1"/>
  <c r="L202"/>
  <c r="BZ199"/>
  <c r="CC199" s="1"/>
  <c r="BK199"/>
  <c r="BJ199"/>
  <c r="AX199"/>
  <c r="AW199"/>
  <c r="AV199"/>
  <c r="AK199"/>
  <c r="AJ199"/>
  <c r="N199"/>
  <c r="X199" s="1"/>
  <c r="L199"/>
  <c r="BZ197"/>
  <c r="CC197" s="1"/>
  <c r="BJ197"/>
  <c r="BZ189"/>
  <c r="CC189" s="1"/>
  <c r="BJ189"/>
  <c r="BG188"/>
  <c r="BJ183"/>
  <c r="BZ182"/>
  <c r="CC182" s="1"/>
  <c r="BJ182"/>
  <c r="BZ181"/>
  <c r="CC181" s="1"/>
  <c r="BK181"/>
  <c r="BJ181"/>
  <c r="AX181"/>
  <c r="AW181"/>
  <c r="AV181"/>
  <c r="AK181"/>
  <c r="AJ181"/>
  <c r="N181"/>
  <c r="X181" s="1"/>
  <c r="L181"/>
  <c r="BZ180"/>
  <c r="CC180" s="1"/>
  <c r="BJ180"/>
  <c r="BG180"/>
  <c r="BG178" s="1"/>
  <c r="BG168" s="1"/>
  <c r="BG167" s="1"/>
  <c r="BZ179"/>
  <c r="CC179" s="1"/>
  <c r="BJ179"/>
  <c r="AY179"/>
  <c r="G179"/>
  <c r="F179"/>
  <c r="DB178"/>
  <c r="CE178"/>
  <c r="CD178"/>
  <c r="BX178"/>
  <c r="BM178"/>
  <c r="BF178"/>
  <c r="BE178"/>
  <c r="BD178"/>
  <c r="BC178"/>
  <c r="BB178"/>
  <c r="BA178"/>
  <c r="AZ178"/>
  <c r="AY178"/>
  <c r="AS178"/>
  <c r="AR178"/>
  <c r="AQ178"/>
  <c r="AP178"/>
  <c r="AO178"/>
  <c r="AV178"/>
  <c r="AN178"/>
  <c r="AM178"/>
  <c r="AL178"/>
  <c r="AK178"/>
  <c r="AG178"/>
  <c r="AF178"/>
  <c r="AE178"/>
  <c r="AD178"/>
  <c r="AC178"/>
  <c r="AJ178"/>
  <c r="AB178"/>
  <c r="AA178"/>
  <c r="Z178"/>
  <c r="U178"/>
  <c r="T178"/>
  <c r="S178"/>
  <c r="O178"/>
  <c r="N178"/>
  <c r="Y178" s="1"/>
  <c r="M178"/>
  <c r="L178"/>
  <c r="K178"/>
  <c r="J178"/>
  <c r="I178"/>
  <c r="H178"/>
  <c r="G178"/>
  <c r="AX178" s="1"/>
  <c r="F178"/>
  <c r="BY178" s="1"/>
  <c r="E178"/>
  <c r="D178"/>
  <c r="BZ177"/>
  <c r="CC177" s="1"/>
  <c r="BJ177"/>
  <c r="AY177"/>
  <c r="AY176"/>
  <c r="BZ175"/>
  <c r="CC175" s="1"/>
  <c r="BJ175"/>
  <c r="AY175"/>
  <c r="AY174" s="1"/>
  <c r="CE174"/>
  <c r="CD174"/>
  <c r="BX174"/>
  <c r="BM174"/>
  <c r="BG174"/>
  <c r="BF174"/>
  <c r="BE174"/>
  <c r="BD174"/>
  <c r="BC174"/>
  <c r="BB174"/>
  <c r="BA174"/>
  <c r="AZ174"/>
  <c r="BJ174" s="1"/>
  <c r="AS174"/>
  <c r="AR174"/>
  <c r="AQ174"/>
  <c r="AP174"/>
  <c r="AO174"/>
  <c r="AN174"/>
  <c r="AV174" s="1"/>
  <c r="AM174"/>
  <c r="AL174"/>
  <c r="AG174"/>
  <c r="AF174"/>
  <c r="AE174"/>
  <c r="AD174"/>
  <c r="AC174"/>
  <c r="AB174"/>
  <c r="AA174"/>
  <c r="Z174"/>
  <c r="U174"/>
  <c r="T174"/>
  <c r="S174"/>
  <c r="O174"/>
  <c r="N174"/>
  <c r="M174"/>
  <c r="BZ174" s="1"/>
  <c r="L174"/>
  <c r="K174"/>
  <c r="J174"/>
  <c r="I174"/>
  <c r="H174"/>
  <c r="G174"/>
  <c r="AX174" s="1"/>
  <c r="F174"/>
  <c r="BY174" s="1"/>
  <c r="E174"/>
  <c r="D174"/>
  <c r="DF173"/>
  <c r="DF169" s="1"/>
  <c r="DF168" s="1"/>
  <c r="DB173"/>
  <c r="DA173"/>
  <c r="DA169" s="1"/>
  <c r="DA168" s="1"/>
  <c r="BZ173"/>
  <c r="CC173" s="1"/>
  <c r="BY173"/>
  <c r="BK173"/>
  <c r="BJ173"/>
  <c r="BG173"/>
  <c r="BF173"/>
  <c r="BF169" s="1"/>
  <c r="BF168" s="1"/>
  <c r="BF167" s="1"/>
  <c r="BD173"/>
  <c r="BB173"/>
  <c r="BB169"/>
  <c r="BB168"/>
  <c r="AX173"/>
  <c r="AW173"/>
  <c r="AV173"/>
  <c r="AK173"/>
  <c r="AJ173"/>
  <c r="Y173"/>
  <c r="T173"/>
  <c r="R173"/>
  <c r="N173"/>
  <c r="L173"/>
  <c r="DD172"/>
  <c r="DC172"/>
  <c r="DB172"/>
  <c r="DA172"/>
  <c r="AZ172"/>
  <c r="BJ172" s="1"/>
  <c r="AY172"/>
  <c r="AS172"/>
  <c r="AR172"/>
  <c r="AQ172"/>
  <c r="AP172"/>
  <c r="AO172"/>
  <c r="AN172"/>
  <c r="AM172"/>
  <c r="AL172"/>
  <c r="AG172"/>
  <c r="AF172"/>
  <c r="AE172"/>
  <c r="AD172"/>
  <c r="AC172"/>
  <c r="AB172"/>
  <c r="AA172"/>
  <c r="Z172"/>
  <c r="U172"/>
  <c r="S172"/>
  <c r="R172"/>
  <c r="O172"/>
  <c r="M172"/>
  <c r="K172"/>
  <c r="J172"/>
  <c r="I172"/>
  <c r="H172"/>
  <c r="G172"/>
  <c r="F172"/>
  <c r="E172"/>
  <c r="D172"/>
  <c r="BZ171"/>
  <c r="CC171" s="1"/>
  <c r="BY171"/>
  <c r="CA171" s="1"/>
  <c r="BK171"/>
  <c r="BJ171"/>
  <c r="AW171"/>
  <c r="AV171"/>
  <c r="AK171"/>
  <c r="AJ171"/>
  <c r="Y171"/>
  <c r="X171"/>
  <c r="BZ170"/>
  <c r="CC170" s="1"/>
  <c r="BY170"/>
  <c r="CA170"/>
  <c r="BK170"/>
  <c r="BJ170"/>
  <c r="AX170"/>
  <c r="AX172"/>
  <c r="AW170"/>
  <c r="AV170"/>
  <c r="AK170"/>
  <c r="AJ170"/>
  <c r="T170"/>
  <c r="T172" s="1"/>
  <c r="N170"/>
  <c r="Y170" s="1"/>
  <c r="L170"/>
  <c r="DD169"/>
  <c r="DD168" s="1"/>
  <c r="DD167" s="1"/>
  <c r="DC169"/>
  <c r="DB169"/>
  <c r="CE169"/>
  <c r="BX169"/>
  <c r="BM169"/>
  <c r="BG169"/>
  <c r="BE169"/>
  <c r="BE168" s="1"/>
  <c r="BD169"/>
  <c r="BC169"/>
  <c r="BC168" s="1"/>
  <c r="BA169"/>
  <c r="AZ169"/>
  <c r="AY169"/>
  <c r="AS169"/>
  <c r="AR169"/>
  <c r="AR167"/>
  <c r="AQ169"/>
  <c r="AQ167"/>
  <c r="AP169"/>
  <c r="AP167"/>
  <c r="AO169"/>
  <c r="AN169"/>
  <c r="AM169"/>
  <c r="AL169"/>
  <c r="AL167" s="1"/>
  <c r="AG169"/>
  <c r="AG167" s="1"/>
  <c r="AF169"/>
  <c r="AE169"/>
  <c r="AE167"/>
  <c r="AD169"/>
  <c r="AC169"/>
  <c r="AB169"/>
  <c r="AA169"/>
  <c r="AA167" s="1"/>
  <c r="Z169"/>
  <c r="U169"/>
  <c r="U167" s="1"/>
  <c r="T169"/>
  <c r="S169"/>
  <c r="O169"/>
  <c r="M169"/>
  <c r="M167" s="1"/>
  <c r="K169"/>
  <c r="K167" s="1"/>
  <c r="J169"/>
  <c r="I169"/>
  <c r="I167" s="1"/>
  <c r="H169"/>
  <c r="H167" s="1"/>
  <c r="G169"/>
  <c r="G168" s="1"/>
  <c r="F169"/>
  <c r="BY169" s="1"/>
  <c r="E169"/>
  <c r="E168" s="1"/>
  <c r="E167" s="1"/>
  <c r="D169"/>
  <c r="DC168"/>
  <c r="D168"/>
  <c r="D167" s="1"/>
  <c r="BM167"/>
  <c r="AS167"/>
  <c r="AO167"/>
  <c r="AM167"/>
  <c r="AF167"/>
  <c r="AD167"/>
  <c r="AB167"/>
  <c r="Z167"/>
  <c r="Y167"/>
  <c r="X167"/>
  <c r="T167"/>
  <c r="J167"/>
  <c r="BZ165"/>
  <c r="CC165" s="1"/>
  <c r="BJ165"/>
  <c r="AX165"/>
  <c r="R165"/>
  <c r="L165"/>
  <c r="I165"/>
  <c r="BZ158"/>
  <c r="CC158" s="1"/>
  <c r="BJ158"/>
  <c r="AY158"/>
  <c r="BZ156"/>
  <c r="CC156" s="1"/>
  <c r="BJ156"/>
  <c r="AY156"/>
  <c r="AX156"/>
  <c r="R156"/>
  <c r="L156"/>
  <c r="K156"/>
  <c r="T156" s="1"/>
  <c r="BZ147"/>
  <c r="CC147" s="1"/>
  <c r="BJ147"/>
  <c r="DB146"/>
  <c r="DA146"/>
  <c r="BM146"/>
  <c r="BG146"/>
  <c r="BF146"/>
  <c r="BE146"/>
  <c r="BD146"/>
  <c r="BC146"/>
  <c r="BB146"/>
  <c r="BA146"/>
  <c r="AZ146"/>
  <c r="AS146"/>
  <c r="AR146"/>
  <c r="AQ146"/>
  <c r="AP146"/>
  <c r="AO146"/>
  <c r="AN146"/>
  <c r="AM146"/>
  <c r="AL146"/>
  <c r="AG146"/>
  <c r="AF146"/>
  <c r="AE146"/>
  <c r="AD146"/>
  <c r="AC146"/>
  <c r="AB146"/>
  <c r="AA146"/>
  <c r="Z146"/>
  <c r="U146"/>
  <c r="M146"/>
  <c r="L146"/>
  <c r="J146"/>
  <c r="H146"/>
  <c r="G146"/>
  <c r="AX146" s="1"/>
  <c r="F146"/>
  <c r="E146"/>
  <c r="D146"/>
  <c r="BZ145"/>
  <c r="CC145" s="1"/>
  <c r="BJ145"/>
  <c r="DB144"/>
  <c r="DA144"/>
  <c r="CD144"/>
  <c r="BM144"/>
  <c r="BG144"/>
  <c r="BE144"/>
  <c r="BD144"/>
  <c r="BC144"/>
  <c r="BB144"/>
  <c r="BA144"/>
  <c r="AX144"/>
  <c r="AS144"/>
  <c r="AR144"/>
  <c r="AQ144"/>
  <c r="AP144"/>
  <c r="AO144"/>
  <c r="AN144"/>
  <c r="AM144"/>
  <c r="AL144"/>
  <c r="AG144"/>
  <c r="AF144"/>
  <c r="AE144"/>
  <c r="AD144"/>
  <c r="AC144"/>
  <c r="AB144"/>
  <c r="AA144"/>
  <c r="Z144"/>
  <c r="U144"/>
  <c r="T144"/>
  <c r="R144"/>
  <c r="N144"/>
  <c r="M144"/>
  <c r="BZ144"/>
  <c r="L144"/>
  <c r="K144"/>
  <c r="J144"/>
  <c r="I144"/>
  <c r="H144"/>
  <c r="AZ144" s="1"/>
  <c r="BJ144" s="1"/>
  <c r="E144"/>
  <c r="D144"/>
  <c r="BZ143"/>
  <c r="CB143" s="1"/>
  <c r="BY143"/>
  <c r="BK143"/>
  <c r="BJ143"/>
  <c r="AX143"/>
  <c r="AW143"/>
  <c r="AV143"/>
  <c r="AK143"/>
  <c r="AJ143"/>
  <c r="Y143"/>
  <c r="X143"/>
  <c r="T143"/>
  <c r="L143"/>
  <c r="BZ142"/>
  <c r="CC142" s="1"/>
  <c r="CD142"/>
  <c r="BY142"/>
  <c r="CA142" s="1"/>
  <c r="BK142"/>
  <c r="BJ142"/>
  <c r="AX142"/>
  <c r="AW142"/>
  <c r="AV142"/>
  <c r="AK142"/>
  <c r="AJ142"/>
  <c r="T142"/>
  <c r="O142"/>
  <c r="Y142" s="1"/>
  <c r="L142"/>
  <c r="DB141"/>
  <c r="DA141"/>
  <c r="CE141"/>
  <c r="CD141"/>
  <c r="BY141"/>
  <c r="BM141"/>
  <c r="BG141"/>
  <c r="BF141"/>
  <c r="BE141"/>
  <c r="BD141"/>
  <c r="BC141"/>
  <c r="BB141"/>
  <c r="BA141"/>
  <c r="AZ141"/>
  <c r="AY141"/>
  <c r="AX141"/>
  <c r="AT141"/>
  <c r="AS141"/>
  <c r="AR141"/>
  <c r="AQ141"/>
  <c r="AP141"/>
  <c r="AO141"/>
  <c r="AN141"/>
  <c r="AM141"/>
  <c r="AL141"/>
  <c r="AH141"/>
  <c r="AG141"/>
  <c r="AF141"/>
  <c r="AE141"/>
  <c r="AD141"/>
  <c r="AC141"/>
  <c r="AB141"/>
  <c r="AA141"/>
  <c r="Z141"/>
  <c r="U141"/>
  <c r="T141"/>
  <c r="P141"/>
  <c r="N141"/>
  <c r="M141"/>
  <c r="BZ141" s="1"/>
  <c r="L141"/>
  <c r="K141"/>
  <c r="J141"/>
  <c r="I141"/>
  <c r="H141"/>
  <c r="DB140"/>
  <c r="DA140"/>
  <c r="BZ140"/>
  <c r="CB140" s="1"/>
  <c r="BY140"/>
  <c r="BK140"/>
  <c r="BJ140"/>
  <c r="BG140"/>
  <c r="BG136" s="1"/>
  <c r="BG135" s="1"/>
  <c r="BF140"/>
  <c r="BD140"/>
  <c r="BD136" s="1"/>
  <c r="BB140"/>
  <c r="BB136" s="1"/>
  <c r="BB135" s="1"/>
  <c r="BB166" s="1"/>
  <c r="AX140"/>
  <c r="AW140"/>
  <c r="AV140"/>
  <c r="AK140"/>
  <c r="AJ140"/>
  <c r="Y140"/>
  <c r="X140"/>
  <c r="T140"/>
  <c r="L140"/>
  <c r="DD139"/>
  <c r="DC139"/>
  <c r="DB139"/>
  <c r="DA139"/>
  <c r="BM139"/>
  <c r="AZ139"/>
  <c r="BJ139" s="1"/>
  <c r="AY139"/>
  <c r="AS139"/>
  <c r="AR139"/>
  <c r="AQ139"/>
  <c r="AP139"/>
  <c r="AO139"/>
  <c r="AN139"/>
  <c r="AM139"/>
  <c r="AL139"/>
  <c r="AG139"/>
  <c r="AF139"/>
  <c r="AE139"/>
  <c r="AD139"/>
  <c r="AC139"/>
  <c r="AB139"/>
  <c r="AA139"/>
  <c r="Z139"/>
  <c r="U139"/>
  <c r="S139"/>
  <c r="R139"/>
  <c r="N139"/>
  <c r="M139"/>
  <c r="K139"/>
  <c r="J139"/>
  <c r="I139"/>
  <c r="H139"/>
  <c r="G139"/>
  <c r="F139"/>
  <c r="E139"/>
  <c r="D139"/>
  <c r="BZ138"/>
  <c r="CC138" s="1"/>
  <c r="BY138"/>
  <c r="BK138"/>
  <c r="BJ138"/>
  <c r="AW138"/>
  <c r="AV138"/>
  <c r="AK138"/>
  <c r="AJ138"/>
  <c r="Y138"/>
  <c r="X138"/>
  <c r="BZ137"/>
  <c r="CC137"/>
  <c r="BY137"/>
  <c r="BK137"/>
  <c r="BJ137"/>
  <c r="AX137"/>
  <c r="AX139" s="1"/>
  <c r="AW137"/>
  <c r="AV137"/>
  <c r="AK137"/>
  <c r="AJ137"/>
  <c r="T137"/>
  <c r="O137"/>
  <c r="Y137"/>
  <c r="L137"/>
  <c r="DD136"/>
  <c r="DD135" s="1"/>
  <c r="DC136"/>
  <c r="DB136"/>
  <c r="DB135" s="1"/>
  <c r="DA136"/>
  <c r="DA135" s="1"/>
  <c r="CE136"/>
  <c r="BM136"/>
  <c r="BF136"/>
  <c r="BF135" s="1"/>
  <c r="BE136"/>
  <c r="BC136"/>
  <c r="BA136"/>
  <c r="BJ136" s="1"/>
  <c r="AZ136"/>
  <c r="AZ135" s="1"/>
  <c r="BK135" s="1"/>
  <c r="AY136"/>
  <c r="AT136"/>
  <c r="AT135" s="1"/>
  <c r="AS136"/>
  <c r="AR136"/>
  <c r="AR135" s="1"/>
  <c r="AQ136"/>
  <c r="AP136"/>
  <c r="AP135" s="1"/>
  <c r="AO136"/>
  <c r="AN136"/>
  <c r="AM136"/>
  <c r="AL136"/>
  <c r="AH136"/>
  <c r="AG136"/>
  <c r="AF136"/>
  <c r="AF135"/>
  <c r="AE136"/>
  <c r="AE135"/>
  <c r="AD136"/>
  <c r="AC136"/>
  <c r="AK136" s="1"/>
  <c r="AB136"/>
  <c r="AB135" s="1"/>
  <c r="AA136"/>
  <c r="AA135" s="1"/>
  <c r="Z136"/>
  <c r="Z135" s="1"/>
  <c r="U136"/>
  <c r="U135" s="1"/>
  <c r="P136"/>
  <c r="N136"/>
  <c r="X136" s="1"/>
  <c r="M136"/>
  <c r="BZ136" s="1"/>
  <c r="K136"/>
  <c r="J136"/>
  <c r="J135" s="1"/>
  <c r="I136"/>
  <c r="H136"/>
  <c r="H135"/>
  <c r="G136"/>
  <c r="F136"/>
  <c r="F135" s="1"/>
  <c r="E136"/>
  <c r="D136"/>
  <c r="DC135"/>
  <c r="BM135"/>
  <c r="BE135"/>
  <c r="BA135"/>
  <c r="AS135"/>
  <c r="AQ135"/>
  <c r="AO135"/>
  <c r="AN135"/>
  <c r="AM135"/>
  <c r="AL135"/>
  <c r="AH135"/>
  <c r="AC135"/>
  <c r="V135"/>
  <c r="R135"/>
  <c r="Q135"/>
  <c r="D135"/>
  <c r="BZ134"/>
  <c r="CC134"/>
  <c r="BJ134"/>
  <c r="BZ123"/>
  <c r="CC123" s="1"/>
  <c r="BJ123"/>
  <c r="BZ122"/>
  <c r="CC122"/>
  <c r="BJ122"/>
  <c r="DD108"/>
  <c r="DC108"/>
  <c r="DB108"/>
  <c r="DA108"/>
  <c r="BG108"/>
  <c r="BF108"/>
  <c r="BE108"/>
  <c r="BD108"/>
  <c r="BC108"/>
  <c r="BB108"/>
  <c r="BA108"/>
  <c r="AY108"/>
  <c r="G108"/>
  <c r="F108"/>
  <c r="E108"/>
  <c r="D108"/>
  <c r="DB102"/>
  <c r="DB101"/>
  <c r="DD98"/>
  <c r="DC98"/>
  <c r="DB98"/>
  <c r="DA98"/>
  <c r="BF98"/>
  <c r="BC98"/>
  <c r="BB98"/>
  <c r="BA98"/>
  <c r="AY98"/>
  <c r="G98"/>
  <c r="F98"/>
  <c r="E98"/>
  <c r="D98"/>
  <c r="BZ97"/>
  <c r="CC97" s="1"/>
  <c r="BA97"/>
  <c r="BJ97" s="1"/>
  <c r="Y97"/>
  <c r="X97"/>
  <c r="DA96"/>
  <c r="CC95"/>
  <c r="BJ95"/>
  <c r="AX95"/>
  <c r="BZ94"/>
  <c r="CC94" s="1"/>
  <c r="BJ94"/>
  <c r="DD93"/>
  <c r="DD91"/>
  <c r="DC93"/>
  <c r="DC91"/>
  <c r="DB93"/>
  <c r="DB91"/>
  <c r="DA93"/>
  <c r="DA91"/>
  <c r="BG93"/>
  <c r="BG91"/>
  <c r="BF93"/>
  <c r="BF91"/>
  <c r="BE93"/>
  <c r="BD93"/>
  <c r="BC93"/>
  <c r="BC91"/>
  <c r="BB93"/>
  <c r="BB91"/>
  <c r="BA93"/>
  <c r="AY93"/>
  <c r="AY91" s="1"/>
  <c r="G93"/>
  <c r="F93"/>
  <c r="F91"/>
  <c r="E93"/>
  <c r="E91"/>
  <c r="D93"/>
  <c r="AX92"/>
  <c r="CE91"/>
  <c r="CD91"/>
  <c r="BM91"/>
  <c r="BE91"/>
  <c r="BA91"/>
  <c r="AS91"/>
  <c r="AR91"/>
  <c r="AQ91"/>
  <c r="AP91"/>
  <c r="AO91"/>
  <c r="AN91"/>
  <c r="AM91"/>
  <c r="AL91"/>
  <c r="AG91"/>
  <c r="AF91"/>
  <c r="AE91"/>
  <c r="AD91"/>
  <c r="AC91"/>
  <c r="AB91"/>
  <c r="AA91"/>
  <c r="Z91"/>
  <c r="U91"/>
  <c r="T91"/>
  <c r="S91"/>
  <c r="R91"/>
  <c r="N91"/>
  <c r="M91"/>
  <c r="L91"/>
  <c r="K91"/>
  <c r="J91"/>
  <c r="I91"/>
  <c r="H91"/>
  <c r="AZ91"/>
  <c r="BJ91" s="1"/>
  <c r="AX90"/>
  <c r="L90"/>
  <c r="DC89"/>
  <c r="DB89"/>
  <c r="BZ89"/>
  <c r="CC89"/>
  <c r="BK89"/>
  <c r="BJ89"/>
  <c r="AW89"/>
  <c r="AV89"/>
  <c r="AK89"/>
  <c r="AJ89"/>
  <c r="R89"/>
  <c r="N89"/>
  <c r="Y89" s="1"/>
  <c r="G89"/>
  <c r="I89" s="1"/>
  <c r="K89" s="1"/>
  <c r="T89" s="1"/>
  <c r="F89"/>
  <c r="F85"/>
  <c r="BZ88"/>
  <c r="CC88" s="1"/>
  <c r="BK88"/>
  <c r="BJ88"/>
  <c r="AX88"/>
  <c r="AW88"/>
  <c r="AV88"/>
  <c r="AK88"/>
  <c r="AJ88"/>
  <c r="R88"/>
  <c r="N88"/>
  <c r="X88" s="1"/>
  <c r="L88"/>
  <c r="I88"/>
  <c r="K88"/>
  <c r="T88" s="1"/>
  <c r="BZ87"/>
  <c r="BK87"/>
  <c r="BJ87"/>
  <c r="AX87"/>
  <c r="AW87"/>
  <c r="AV87"/>
  <c r="AK87"/>
  <c r="AJ87"/>
  <c r="R87"/>
  <c r="N87"/>
  <c r="Y87"/>
  <c r="X87"/>
  <c r="L87"/>
  <c r="I87"/>
  <c r="K87"/>
  <c r="BZ86"/>
  <c r="CC86" s="1"/>
  <c r="BK86"/>
  <c r="BJ86"/>
  <c r="AX86"/>
  <c r="AW86"/>
  <c r="AV86"/>
  <c r="AK86"/>
  <c r="AJ86"/>
  <c r="R86"/>
  <c r="N86"/>
  <c r="Y86"/>
  <c r="L86"/>
  <c r="I86"/>
  <c r="K86" s="1"/>
  <c r="DF85"/>
  <c r="DD85"/>
  <c r="DC85"/>
  <c r="DB85"/>
  <c r="DA85"/>
  <c r="CE85"/>
  <c r="BY85"/>
  <c r="BM85"/>
  <c r="BG85"/>
  <c r="BF85"/>
  <c r="BE85"/>
  <c r="BD85"/>
  <c r="BC85"/>
  <c r="BB85"/>
  <c r="BA85"/>
  <c r="AZ85"/>
  <c r="BJ85"/>
  <c r="AY85"/>
  <c r="AT85"/>
  <c r="AS85"/>
  <c r="AR85"/>
  <c r="AQ85"/>
  <c r="AP85"/>
  <c r="AO85"/>
  <c r="AN85"/>
  <c r="AM85"/>
  <c r="AL85"/>
  <c r="AH85"/>
  <c r="AG85"/>
  <c r="AF85"/>
  <c r="AE85"/>
  <c r="AD85"/>
  <c r="AC85"/>
  <c r="AB85"/>
  <c r="AK85"/>
  <c r="AA85"/>
  <c r="Z85"/>
  <c r="Y85"/>
  <c r="X85"/>
  <c r="U85"/>
  <c r="M85"/>
  <c r="BZ85" s="1"/>
  <c r="CA85" s="1"/>
  <c r="J85"/>
  <c r="H85"/>
  <c r="G85"/>
  <c r="AX85" s="1"/>
  <c r="E85"/>
  <c r="D85"/>
  <c r="BZ84"/>
  <c r="CC84" s="1"/>
  <c r="BJ84"/>
  <c r="AX84"/>
  <c r="BZ83"/>
  <c r="CC83" s="1"/>
  <c r="BJ83"/>
  <c r="AX83"/>
  <c r="BZ82"/>
  <c r="CC82" s="1"/>
  <c r="BJ82"/>
  <c r="AX82"/>
  <c r="AX81"/>
  <c r="AX80"/>
  <c r="AX79"/>
  <c r="BZ78"/>
  <c r="CC78" s="1"/>
  <c r="BJ78"/>
  <c r="AX78"/>
  <c r="BZ76"/>
  <c r="CC76" s="1"/>
  <c r="BJ76"/>
  <c r="AX76"/>
  <c r="BJ75"/>
  <c r="AX75"/>
  <c r="DC74"/>
  <c r="DC71" s="1"/>
  <c r="DC50" s="1"/>
  <c r="DC166" s="1"/>
  <c r="DB74"/>
  <c r="BZ74"/>
  <c r="CD74" s="1"/>
  <c r="CD71" s="1"/>
  <c r="BK74"/>
  <c r="BJ74"/>
  <c r="AW74"/>
  <c r="AV74"/>
  <c r="AK74"/>
  <c r="AJ74"/>
  <c r="T74"/>
  <c r="T71"/>
  <c r="R74"/>
  <c r="N74"/>
  <c r="Y74" s="1"/>
  <c r="G74"/>
  <c r="F74"/>
  <c r="AX73"/>
  <c r="BJ72"/>
  <c r="AX72"/>
  <c r="DD71"/>
  <c r="DB71"/>
  <c r="DA71"/>
  <c r="CE71"/>
  <c r="BM71"/>
  <c r="BG71"/>
  <c r="BF71"/>
  <c r="BE71"/>
  <c r="BD71"/>
  <c r="BC71"/>
  <c r="BB71"/>
  <c r="BA71"/>
  <c r="AZ71"/>
  <c r="AY71"/>
  <c r="AS71"/>
  <c r="AR71"/>
  <c r="AQ71"/>
  <c r="AP71"/>
  <c r="AO71"/>
  <c r="AN71"/>
  <c r="AM71"/>
  <c r="AL71"/>
  <c r="AG71"/>
  <c r="AF71"/>
  <c r="AE71"/>
  <c r="AD71"/>
  <c r="AC71"/>
  <c r="AB71"/>
  <c r="AA71"/>
  <c r="Z71"/>
  <c r="Y71"/>
  <c r="X71"/>
  <c r="U71"/>
  <c r="M71"/>
  <c r="K71"/>
  <c r="J71"/>
  <c r="I71"/>
  <c r="H71"/>
  <c r="G71"/>
  <c r="AX71" s="1"/>
  <c r="F71"/>
  <c r="BY71" s="1"/>
  <c r="E71"/>
  <c r="D71"/>
  <c r="AX70"/>
  <c r="CC69"/>
  <c r="BJ69"/>
  <c r="BB69"/>
  <c r="AX69"/>
  <c r="L69"/>
  <c r="DD68"/>
  <c r="DC68"/>
  <c r="DB68"/>
  <c r="DA68"/>
  <c r="CE68"/>
  <c r="CD68"/>
  <c r="BG68"/>
  <c r="BF68"/>
  <c r="BE68"/>
  <c r="BD68"/>
  <c r="BC68"/>
  <c r="BB68"/>
  <c r="BA68"/>
  <c r="AY68"/>
  <c r="AS68"/>
  <c r="AR68"/>
  <c r="AQ68"/>
  <c r="AP68"/>
  <c r="AO68"/>
  <c r="AN68"/>
  <c r="AM68"/>
  <c r="AL68"/>
  <c r="AG68"/>
  <c r="AF68"/>
  <c r="AE68"/>
  <c r="AD68"/>
  <c r="AC68"/>
  <c r="AB68"/>
  <c r="AA68"/>
  <c r="Z68"/>
  <c r="U68"/>
  <c r="T68"/>
  <c r="S68"/>
  <c r="Q68"/>
  <c r="O68"/>
  <c r="N68"/>
  <c r="M68"/>
  <c r="BZ68"/>
  <c r="L68"/>
  <c r="K68"/>
  <c r="J68"/>
  <c r="I68"/>
  <c r="H68"/>
  <c r="AZ68"/>
  <c r="G68"/>
  <c r="AX68"/>
  <c r="F68"/>
  <c r="BY68"/>
  <c r="E68"/>
  <c r="D68"/>
  <c r="BZ67"/>
  <c r="CC67" s="1"/>
  <c r="BK67"/>
  <c r="BJ67"/>
  <c r="AX67"/>
  <c r="AW67"/>
  <c r="AV67"/>
  <c r="AK67"/>
  <c r="AJ67"/>
  <c r="N67"/>
  <c r="X67" s="1"/>
  <c r="L67"/>
  <c r="BZ66"/>
  <c r="CC66" s="1"/>
  <c r="BK66"/>
  <c r="BJ66"/>
  <c r="AX66"/>
  <c r="AW66"/>
  <c r="AV66"/>
  <c r="AK66"/>
  <c r="AJ66"/>
  <c r="N66"/>
  <c r="Y66" s="1"/>
  <c r="L66"/>
  <c r="DB62"/>
  <c r="DD58"/>
  <c r="DC58"/>
  <c r="BY58"/>
  <c r="BG58"/>
  <c r="BG57"/>
  <c r="BF58"/>
  <c r="DF57"/>
  <c r="DD57"/>
  <c r="DC57"/>
  <c r="DB57"/>
  <c r="DA57"/>
  <c r="CE57"/>
  <c r="CD57"/>
  <c r="BM57"/>
  <c r="BF57"/>
  <c r="BE57"/>
  <c r="BD57"/>
  <c r="BC57"/>
  <c r="BB57"/>
  <c r="BA57"/>
  <c r="AZ57"/>
  <c r="AY57"/>
  <c r="AX57"/>
  <c r="AT57"/>
  <c r="AS57"/>
  <c r="AR57"/>
  <c r="AQ57"/>
  <c r="AP57"/>
  <c r="AO57"/>
  <c r="AN57"/>
  <c r="AV57" s="1"/>
  <c r="AM57"/>
  <c r="AL57"/>
  <c r="AH57"/>
  <c r="AG57"/>
  <c r="AF57"/>
  <c r="AE57"/>
  <c r="AD57"/>
  <c r="AC57"/>
  <c r="AB57"/>
  <c r="AJ57" s="1"/>
  <c r="AA57"/>
  <c r="Z57"/>
  <c r="Y57"/>
  <c r="X57"/>
  <c r="U57"/>
  <c r="T57"/>
  <c r="M57"/>
  <c r="BZ57" s="1"/>
  <c r="L57"/>
  <c r="K57"/>
  <c r="J57"/>
  <c r="I57"/>
  <c r="H57"/>
  <c r="F57"/>
  <c r="BY57" s="1"/>
  <c r="D57"/>
  <c r="DD56"/>
  <c r="DC56"/>
  <c r="DB56"/>
  <c r="DA56"/>
  <c r="BZ56"/>
  <c r="CC56" s="1"/>
  <c r="BK56"/>
  <c r="BJ56"/>
  <c r="BG56"/>
  <c r="BF56"/>
  <c r="BF52"/>
  <c r="BF50" s="1"/>
  <c r="BD56"/>
  <c r="BD52" s="1"/>
  <c r="BB56"/>
  <c r="AW56"/>
  <c r="AV56"/>
  <c r="AK56"/>
  <c r="AJ56"/>
  <c r="Y56"/>
  <c r="X56"/>
  <c r="T56"/>
  <c r="G56"/>
  <c r="G52"/>
  <c r="E56"/>
  <c r="D56"/>
  <c r="D52"/>
  <c r="DD55"/>
  <c r="DC55"/>
  <c r="DB55"/>
  <c r="DA55"/>
  <c r="CE55"/>
  <c r="BM55"/>
  <c r="AZ55"/>
  <c r="BJ55"/>
  <c r="AY55"/>
  <c r="AS55"/>
  <c r="AR55"/>
  <c r="AQ55"/>
  <c r="AP55"/>
  <c r="AO55"/>
  <c r="AW55" s="1"/>
  <c r="AN55"/>
  <c r="AM55"/>
  <c r="AL55"/>
  <c r="AG55"/>
  <c r="AF55"/>
  <c r="AE55"/>
  <c r="AD55"/>
  <c r="AC55"/>
  <c r="AB55"/>
  <c r="AK55" s="1"/>
  <c r="AA55"/>
  <c r="Z55"/>
  <c r="U55"/>
  <c r="S55"/>
  <c r="R55"/>
  <c r="Q55"/>
  <c r="O55"/>
  <c r="Y55" s="1"/>
  <c r="N55"/>
  <c r="M55"/>
  <c r="BZ55"/>
  <c r="K55"/>
  <c r="J55"/>
  <c r="I55"/>
  <c r="H55"/>
  <c r="G55"/>
  <c r="E55"/>
  <c r="D55"/>
  <c r="BZ54"/>
  <c r="CC54" s="1"/>
  <c r="BY54"/>
  <c r="CB54" s="1"/>
  <c r="CA54"/>
  <c r="BK54"/>
  <c r="BJ54"/>
  <c r="AW54"/>
  <c r="AV54"/>
  <c r="AK54"/>
  <c r="AJ54"/>
  <c r="Y54"/>
  <c r="X54"/>
  <c r="BZ53"/>
  <c r="CC53"/>
  <c r="BK53"/>
  <c r="BJ53"/>
  <c r="AX53"/>
  <c r="AX55" s="1"/>
  <c r="AW53"/>
  <c r="AV53"/>
  <c r="AK53"/>
  <c r="AJ53"/>
  <c r="Y53"/>
  <c r="X53"/>
  <c r="T53"/>
  <c r="T52" s="1"/>
  <c r="T50" s="1"/>
  <c r="L53"/>
  <c r="BY53" s="1"/>
  <c r="F53"/>
  <c r="F55" s="1"/>
  <c r="BY55" s="1"/>
  <c r="CB55" s="1"/>
  <c r="DD52"/>
  <c r="DD50" s="1"/>
  <c r="DC52"/>
  <c r="DB52"/>
  <c r="DB50"/>
  <c r="DA52"/>
  <c r="CE52"/>
  <c r="CE50" s="1"/>
  <c r="CE166" s="1"/>
  <c r="CE330" s="1"/>
  <c r="CE332" s="1"/>
  <c r="CE335" s="1"/>
  <c r="CE340" s="1"/>
  <c r="BM52"/>
  <c r="BG52"/>
  <c r="BG50"/>
  <c r="BE52"/>
  <c r="BE50"/>
  <c r="BE166" s="1"/>
  <c r="BC52"/>
  <c r="BC50" s="1"/>
  <c r="BB52"/>
  <c r="BB50" s="1"/>
  <c r="BA52"/>
  <c r="AZ52"/>
  <c r="AZ50" s="1"/>
  <c r="AY52"/>
  <c r="AY50" s="1"/>
  <c r="AT52"/>
  <c r="AT50"/>
  <c r="AS52"/>
  <c r="AR52"/>
  <c r="AR50" s="1"/>
  <c r="AR166" s="1"/>
  <c r="AQ52"/>
  <c r="AP52"/>
  <c r="AP50" s="1"/>
  <c r="AO52"/>
  <c r="AV52" s="1"/>
  <c r="AN52"/>
  <c r="AN50" s="1"/>
  <c r="AN166"/>
  <c r="AM52"/>
  <c r="AL52"/>
  <c r="AL50" s="1"/>
  <c r="AL166" s="1"/>
  <c r="AL330" s="1"/>
  <c r="AH52"/>
  <c r="AH50"/>
  <c r="AG52"/>
  <c r="AG50"/>
  <c r="AF52"/>
  <c r="AE52"/>
  <c r="AE50" s="1"/>
  <c r="AE166"/>
  <c r="AD52"/>
  <c r="AC52"/>
  <c r="AJ52" s="1"/>
  <c r="AB52"/>
  <c r="AA52"/>
  <c r="AA50" s="1"/>
  <c r="Z52"/>
  <c r="Z50" s="1"/>
  <c r="V52"/>
  <c r="V50" s="1"/>
  <c r="V166" s="1"/>
  <c r="V330" s="1"/>
  <c r="S52"/>
  <c r="S50" s="1"/>
  <c r="R52"/>
  <c r="Q52"/>
  <c r="Q50" s="1"/>
  <c r="O52"/>
  <c r="X52"/>
  <c r="M52"/>
  <c r="BZ52"/>
  <c r="K52"/>
  <c r="K50" s="1"/>
  <c r="J52"/>
  <c r="I52"/>
  <c r="I50" s="1"/>
  <c r="H52"/>
  <c r="H50"/>
  <c r="H166" s="1"/>
  <c r="E52"/>
  <c r="E50" s="1"/>
  <c r="CC51"/>
  <c r="BZ51"/>
  <c r="BK51"/>
  <c r="BJ51"/>
  <c r="AX51"/>
  <c r="AW51"/>
  <c r="AV51"/>
  <c r="AK51"/>
  <c r="AJ51"/>
  <c r="Y51"/>
  <c r="X51"/>
  <c r="T51"/>
  <c r="L51"/>
  <c r="BY51" s="1"/>
  <c r="CB51" s="1"/>
  <c r="CF50"/>
  <c r="BX50"/>
  <c r="BX166" s="1"/>
  <c r="BX330" s="1"/>
  <c r="BX331" s="1"/>
  <c r="BX340" s="1"/>
  <c r="BM50"/>
  <c r="BM166"/>
  <c r="AS50"/>
  <c r="AS166"/>
  <c r="AQ50"/>
  <c r="AQ166"/>
  <c r="AM50"/>
  <c r="AM166"/>
  <c r="AF50"/>
  <c r="AD50"/>
  <c r="AB50"/>
  <c r="U50"/>
  <c r="S166"/>
  <c r="R50"/>
  <c r="R166"/>
  <c r="Q166"/>
  <c r="P50"/>
  <c r="P166"/>
  <c r="O50"/>
  <c r="Y50"/>
  <c r="N50"/>
  <c r="N166"/>
  <c r="M50"/>
  <c r="J50"/>
  <c r="BZ49"/>
  <c r="CA49"/>
  <c r="BI49"/>
  <c r="BH48"/>
  <c r="BH47"/>
  <c r="BH46"/>
  <c r="BG45"/>
  <c r="BG44"/>
  <c r="BG39" s="1"/>
  <c r="BF43"/>
  <c r="BF39" s="1"/>
  <c r="BE42"/>
  <c r="BE39" s="1"/>
  <c r="DB41"/>
  <c r="BZ41"/>
  <c r="CC41"/>
  <c r="BY41"/>
  <c r="BC41"/>
  <c r="BJ41" s="1"/>
  <c r="AX41"/>
  <c r="DB40"/>
  <c r="BZ40"/>
  <c r="BZ39" s="1"/>
  <c r="BY40"/>
  <c r="BY39"/>
  <c r="BA40"/>
  <c r="BJ40"/>
  <c r="AX40"/>
  <c r="AX39"/>
  <c r="DF39"/>
  <c r="DD39"/>
  <c r="DC39"/>
  <c r="CF39"/>
  <c r="CE39"/>
  <c r="CD39"/>
  <c r="BX39"/>
  <c r="BM39"/>
  <c r="BI39"/>
  <c r="BD39"/>
  <c r="BB39"/>
  <c r="BA39"/>
  <c r="BJ39"/>
  <c r="AY39"/>
  <c r="AM39"/>
  <c r="AA39"/>
  <c r="W39"/>
  <c r="V39"/>
  <c r="U39"/>
  <c r="S39"/>
  <c r="O39"/>
  <c r="M39"/>
  <c r="G39"/>
  <c r="F39"/>
  <c r="E39"/>
  <c r="D39"/>
  <c r="CD38"/>
  <c r="CD28" s="1"/>
  <c r="CC38"/>
  <c r="CA38"/>
  <c r="BI38"/>
  <c r="BM37"/>
  <c r="BM28" s="1"/>
  <c r="BH37"/>
  <c r="AM37"/>
  <c r="AM28" s="1"/>
  <c r="AA37"/>
  <c r="M37"/>
  <c r="BH36"/>
  <c r="BH35"/>
  <c r="BZ34"/>
  <c r="CA34"/>
  <c r="BG34"/>
  <c r="BZ33"/>
  <c r="BG33"/>
  <c r="BF32"/>
  <c r="BF28" s="1"/>
  <c r="DC31"/>
  <c r="DA31"/>
  <c r="DA42" s="1"/>
  <c r="AY31"/>
  <c r="AX31"/>
  <c r="AX28"/>
  <c r="DC30"/>
  <c r="DA30"/>
  <c r="DA41" s="1"/>
  <c r="BZ30"/>
  <c r="BC30"/>
  <c r="BJ30"/>
  <c r="AX30"/>
  <c r="T30"/>
  <c r="T28" s="1"/>
  <c r="R30"/>
  <c r="R28" s="1"/>
  <c r="L30"/>
  <c r="BY30" s="1"/>
  <c r="DD29"/>
  <c r="DD28" s="1"/>
  <c r="DC29"/>
  <c r="DC28" s="1"/>
  <c r="DA29"/>
  <c r="DA40"/>
  <c r="BZ29"/>
  <c r="BA29"/>
  <c r="BK29" s="1"/>
  <c r="BK28"/>
  <c r="AX29"/>
  <c r="AW29"/>
  <c r="AW28" s="1"/>
  <c r="AV29"/>
  <c r="AK29"/>
  <c r="AK28" s="1"/>
  <c r="AJ29"/>
  <c r="N29"/>
  <c r="X29" s="1"/>
  <c r="X28" s="1"/>
  <c r="L29"/>
  <c r="BY29"/>
  <c r="DA28"/>
  <c r="CF28"/>
  <c r="CE28"/>
  <c r="BX28"/>
  <c r="BX333"/>
  <c r="BI28"/>
  <c r="BG28"/>
  <c r="BD28"/>
  <c r="BB28"/>
  <c r="AV28"/>
  <c r="AU28"/>
  <c r="AT28"/>
  <c r="AS28"/>
  <c r="AR28"/>
  <c r="AQ28"/>
  <c r="AP28"/>
  <c r="AO28"/>
  <c r="AN28"/>
  <c r="AL28"/>
  <c r="AJ28"/>
  <c r="AI28"/>
  <c r="AH28"/>
  <c r="AG28"/>
  <c r="AF28"/>
  <c r="AE28"/>
  <c r="AD28"/>
  <c r="AC28"/>
  <c r="AB28"/>
  <c r="AA28"/>
  <c r="Z28"/>
  <c r="W28"/>
  <c r="V28"/>
  <c r="U28"/>
  <c r="S28"/>
  <c r="S331"/>
  <c r="Q28"/>
  <c r="P28"/>
  <c r="O28"/>
  <c r="O331"/>
  <c r="K28"/>
  <c r="J28"/>
  <c r="I28"/>
  <c r="H28"/>
  <c r="G28"/>
  <c r="F28"/>
  <c r="E28"/>
  <c r="D28"/>
  <c r="BZ27"/>
  <c r="BY27"/>
  <c r="BG27"/>
  <c r="BG20"/>
  <c r="AX27"/>
  <c r="V27"/>
  <c r="V20" s="1"/>
  <c r="BF26"/>
  <c r="BF20" s="1"/>
  <c r="AX26"/>
  <c r="DB25"/>
  <c r="CC25"/>
  <c r="BK25"/>
  <c r="BJ25"/>
  <c r="BE25"/>
  <c r="BE20"/>
  <c r="AX25"/>
  <c r="AW25"/>
  <c r="AV25"/>
  <c r="AK25"/>
  <c r="AJ25"/>
  <c r="Y25"/>
  <c r="X25"/>
  <c r="Q25"/>
  <c r="L25"/>
  <c r="BY25"/>
  <c r="CC24"/>
  <c r="BC24"/>
  <c r="BC20" s="1"/>
  <c r="AX24"/>
  <c r="BB24" s="1"/>
  <c r="BB20" s="1"/>
  <c r="T24"/>
  <c r="S24"/>
  <c r="R24"/>
  <c r="L24"/>
  <c r="BY24" s="1"/>
  <c r="BJ23"/>
  <c r="BA23"/>
  <c r="BK23"/>
  <c r="AX23"/>
  <c r="AW23"/>
  <c r="AV23"/>
  <c r="AK23"/>
  <c r="AJ23"/>
  <c r="X23"/>
  <c r="O23"/>
  <c r="Y23"/>
  <c r="BA22"/>
  <c r="BK22"/>
  <c r="AX22"/>
  <c r="AW22"/>
  <c r="AV22"/>
  <c r="AK22"/>
  <c r="AJ22"/>
  <c r="O22"/>
  <c r="Y22" s="1"/>
  <c r="BZ21"/>
  <c r="CC21" s="1"/>
  <c r="BY21"/>
  <c r="BA21"/>
  <c r="BJ21"/>
  <c r="AZ21"/>
  <c r="AX21"/>
  <c r="AN21"/>
  <c r="AL21"/>
  <c r="AL20" s="1"/>
  <c r="AB21"/>
  <c r="Z21"/>
  <c r="Z20" s="1"/>
  <c r="N21"/>
  <c r="N20"/>
  <c r="M21"/>
  <c r="L21"/>
  <c r="L20" s="1"/>
  <c r="DF20"/>
  <c r="DD20"/>
  <c r="DC20"/>
  <c r="DA20"/>
  <c r="CE20"/>
  <c r="CD20"/>
  <c r="BX20"/>
  <c r="BM20"/>
  <c r="BD20"/>
  <c r="AZ20"/>
  <c r="AY20"/>
  <c r="AT20"/>
  <c r="AS20"/>
  <c r="AR20"/>
  <c r="AQ20"/>
  <c r="AP20"/>
  <c r="AO20"/>
  <c r="AW20" s="1"/>
  <c r="AN20"/>
  <c r="AM20"/>
  <c r="AH20"/>
  <c r="AG20"/>
  <c r="AF20"/>
  <c r="AE20"/>
  <c r="AD20"/>
  <c r="AC20"/>
  <c r="AA20"/>
  <c r="T20"/>
  <c r="R20"/>
  <c r="Q20"/>
  <c r="M20"/>
  <c r="K20"/>
  <c r="J20"/>
  <c r="I20"/>
  <c r="H20"/>
  <c r="G20"/>
  <c r="F20"/>
  <c r="E20"/>
  <c r="D20"/>
  <c r="DE178" i="8"/>
  <c r="DD29"/>
  <c r="DD296"/>
  <c r="DD263"/>
  <c r="DD238"/>
  <c r="DD235"/>
  <c r="DD234"/>
  <c r="DD172"/>
  <c r="DD169"/>
  <c r="DD168" s="1"/>
  <c r="DD139"/>
  <c r="DD136"/>
  <c r="DD135"/>
  <c r="DD108"/>
  <c r="DD98"/>
  <c r="DD93"/>
  <c r="DD91"/>
  <c r="DD85"/>
  <c r="DD71"/>
  <c r="DD68"/>
  <c r="DD58"/>
  <c r="DD57" s="1"/>
  <c r="DD56"/>
  <c r="DD55"/>
  <c r="DD52"/>
  <c r="DD39"/>
  <c r="DD28"/>
  <c r="DD333" s="1"/>
  <c r="DD20"/>
  <c r="DE145"/>
  <c r="DE233"/>
  <c r="DE239"/>
  <c r="DE173"/>
  <c r="DE169" s="1"/>
  <c r="DE168"/>
  <c r="DE140"/>
  <c r="DE296"/>
  <c r="DE263"/>
  <c r="DE238"/>
  <c r="DE235"/>
  <c r="DE234"/>
  <c r="DE172"/>
  <c r="DE139"/>
  <c r="DE136"/>
  <c r="DE135"/>
  <c r="DE108"/>
  <c r="DE98"/>
  <c r="DE93"/>
  <c r="DE85"/>
  <c r="DE74"/>
  <c r="DE71"/>
  <c r="DE68"/>
  <c r="DE58"/>
  <c r="DE57" s="1"/>
  <c r="DE56"/>
  <c r="DE55"/>
  <c r="DE52"/>
  <c r="DE39"/>
  <c r="DE31"/>
  <c r="DE30"/>
  <c r="DE29"/>
  <c r="DE28" s="1"/>
  <c r="DE333"/>
  <c r="DE20"/>
  <c r="DC31"/>
  <c r="DC30"/>
  <c r="DC29"/>
  <c r="DC28" s="1"/>
  <c r="DC58"/>
  <c r="DC57"/>
  <c r="DC50" s="1"/>
  <c r="D57"/>
  <c r="D296"/>
  <c r="D263"/>
  <c r="D255"/>
  <c r="D249"/>
  <c r="D245"/>
  <c r="D234" s="1"/>
  <c r="D240"/>
  <c r="D238"/>
  <c r="D235"/>
  <c r="D232"/>
  <c r="D178"/>
  <c r="D174"/>
  <c r="D172"/>
  <c r="D169"/>
  <c r="D146"/>
  <c r="D144"/>
  <c r="D139"/>
  <c r="D136"/>
  <c r="D135" s="1"/>
  <c r="D108"/>
  <c r="D98"/>
  <c r="D91" s="1"/>
  <c r="D93"/>
  <c r="D85"/>
  <c r="D71"/>
  <c r="D68"/>
  <c r="D56"/>
  <c r="D55"/>
  <c r="D52"/>
  <c r="D39"/>
  <c r="D28"/>
  <c r="D20"/>
  <c r="AY220"/>
  <c r="G179"/>
  <c r="G178" s="1"/>
  <c r="AX178" s="1"/>
  <c r="G174"/>
  <c r="F179"/>
  <c r="F178" s="1"/>
  <c r="BY178"/>
  <c r="F174"/>
  <c r="DC296"/>
  <c r="DC263"/>
  <c r="DC238"/>
  <c r="DC235"/>
  <c r="DC234"/>
  <c r="DC172"/>
  <c r="DC169"/>
  <c r="DC168" s="1"/>
  <c r="DC139"/>
  <c r="DC136"/>
  <c r="DC135"/>
  <c r="DC108"/>
  <c r="DC98"/>
  <c r="DC93"/>
  <c r="DC91"/>
  <c r="DC89"/>
  <c r="DC85"/>
  <c r="DC74"/>
  <c r="DC71"/>
  <c r="DC68"/>
  <c r="DC56"/>
  <c r="DC55"/>
  <c r="DC52"/>
  <c r="DC39"/>
  <c r="DC20"/>
  <c r="F57"/>
  <c r="E232"/>
  <c r="E174"/>
  <c r="E144"/>
  <c r="E296"/>
  <c r="E263"/>
  <c r="E255"/>
  <c r="E249"/>
  <c r="E245"/>
  <c r="E240"/>
  <c r="E238"/>
  <c r="E235"/>
  <c r="E234" s="1"/>
  <c r="E178"/>
  <c r="E172"/>
  <c r="E169"/>
  <c r="E168" s="1"/>
  <c r="E146"/>
  <c r="E139"/>
  <c r="E136"/>
  <c r="E135" s="1"/>
  <c r="E108"/>
  <c r="E98"/>
  <c r="E93"/>
  <c r="E91" s="1"/>
  <c r="E85"/>
  <c r="E71"/>
  <c r="E68"/>
  <c r="E55"/>
  <c r="E56"/>
  <c r="E52" s="1"/>
  <c r="E39"/>
  <c r="E28"/>
  <c r="E20"/>
  <c r="F296"/>
  <c r="BY296"/>
  <c r="F263"/>
  <c r="F255"/>
  <c r="F249"/>
  <c r="F245"/>
  <c r="BY245"/>
  <c r="F240"/>
  <c r="F238"/>
  <c r="F235"/>
  <c r="F234" s="1"/>
  <c r="F172"/>
  <c r="F169"/>
  <c r="F146"/>
  <c r="F139"/>
  <c r="F136"/>
  <c r="F135" s="1"/>
  <c r="BY135"/>
  <c r="F108"/>
  <c r="F98"/>
  <c r="F93"/>
  <c r="F89"/>
  <c r="F85" s="1"/>
  <c r="BY85" s="1"/>
  <c r="F74"/>
  <c r="F71"/>
  <c r="BY71" s="1"/>
  <c r="F68"/>
  <c r="F53"/>
  <c r="F55"/>
  <c r="BY55" s="1"/>
  <c r="F39"/>
  <c r="F28"/>
  <c r="F20"/>
  <c r="DB255"/>
  <c r="G255"/>
  <c r="G249"/>
  <c r="G245"/>
  <c r="G240"/>
  <c r="DB178"/>
  <c r="G146"/>
  <c r="G108"/>
  <c r="G98"/>
  <c r="G93"/>
  <c r="G56"/>
  <c r="G68"/>
  <c r="G89"/>
  <c r="G85"/>
  <c r="AX85" s="1"/>
  <c r="G74"/>
  <c r="L74" s="1"/>
  <c r="DB74"/>
  <c r="G71"/>
  <c r="AX71" s="1"/>
  <c r="AX73"/>
  <c r="AX70"/>
  <c r="DB62"/>
  <c r="DB57" s="1"/>
  <c r="DB249"/>
  <c r="DB245"/>
  <c r="DB108"/>
  <c r="AY249"/>
  <c r="AY245"/>
  <c r="AY234" s="1"/>
  <c r="AY240"/>
  <c r="AY228"/>
  <c r="BX228"/>
  <c r="BG228"/>
  <c r="BF228"/>
  <c r="BE228"/>
  <c r="BD228"/>
  <c r="BC228"/>
  <c r="BB228"/>
  <c r="BA228"/>
  <c r="BK228" s="1"/>
  <c r="AX228"/>
  <c r="BY228"/>
  <c r="AY179"/>
  <c r="AY178"/>
  <c r="AY158"/>
  <c r="AY156"/>
  <c r="AY146" s="1"/>
  <c r="AY98"/>
  <c r="AY108"/>
  <c r="AY85"/>
  <c r="AY71"/>
  <c r="AY57"/>
  <c r="AY31"/>
  <c r="BC30"/>
  <c r="DB101"/>
  <c r="AY236"/>
  <c r="AY235" s="1"/>
  <c r="AY172"/>
  <c r="AY68"/>
  <c r="AX29"/>
  <c r="G139"/>
  <c r="DB25"/>
  <c r="DB31"/>
  <c r="DB40"/>
  <c r="DB42"/>
  <c r="DB93"/>
  <c r="DB102"/>
  <c r="DB89"/>
  <c r="DB55"/>
  <c r="DB306"/>
  <c r="DB296"/>
  <c r="DB263"/>
  <c r="DB244"/>
  <c r="DB240" s="1"/>
  <c r="DB239"/>
  <c r="DB238"/>
  <c r="DB235"/>
  <c r="DB234" s="1"/>
  <c r="DB232"/>
  <c r="DB173"/>
  <c r="DB172"/>
  <c r="DB169"/>
  <c r="DB146"/>
  <c r="DB144"/>
  <c r="DB141"/>
  <c r="DB140"/>
  <c r="DB139"/>
  <c r="DB136"/>
  <c r="DB135" s="1"/>
  <c r="DB85"/>
  <c r="DB71"/>
  <c r="DB68"/>
  <c r="DB56"/>
  <c r="DB52" s="1"/>
  <c r="DB41"/>
  <c r="DB20"/>
  <c r="DA29"/>
  <c r="DA30"/>
  <c r="DA31"/>
  <c r="BY339"/>
  <c r="BZ338"/>
  <c r="BL335"/>
  <c r="BL340"/>
  <c r="O335"/>
  <c r="BZ334"/>
  <c r="CC334" s="1"/>
  <c r="BY334"/>
  <c r="BH334"/>
  <c r="BZ333"/>
  <c r="BY333"/>
  <c r="AX333"/>
  <c r="BZ332"/>
  <c r="Y330"/>
  <c r="X330"/>
  <c r="BI329"/>
  <c r="BZ328"/>
  <c r="CC328"/>
  <c r="BJ328"/>
  <c r="BI328"/>
  <c r="BM327"/>
  <c r="BJ327"/>
  <c r="BI327"/>
  <c r="AM327"/>
  <c r="AM296" s="1"/>
  <c r="AA327"/>
  <c r="M327"/>
  <c r="BZ326"/>
  <c r="CC326"/>
  <c r="BA326"/>
  <c r="BJ326"/>
  <c r="BM325"/>
  <c r="BI325"/>
  <c r="BA325"/>
  <c r="AO325"/>
  <c r="AM325"/>
  <c r="AC325"/>
  <c r="AA325"/>
  <c r="O325"/>
  <c r="M325"/>
  <c r="BZ324"/>
  <c r="CC324" s="1"/>
  <c r="BJ324"/>
  <c r="BI324"/>
  <c r="BI323"/>
  <c r="BM322"/>
  <c r="BJ322"/>
  <c r="AO322"/>
  <c r="AM322"/>
  <c r="AC322"/>
  <c r="AA322"/>
  <c r="O322"/>
  <c r="M322"/>
  <c r="BI321"/>
  <c r="BI320"/>
  <c r="BI319"/>
  <c r="BI318"/>
  <c r="BZ316"/>
  <c r="CC316"/>
  <c r="BJ316"/>
  <c r="BI316"/>
  <c r="BI315"/>
  <c r="BI314"/>
  <c r="BI312"/>
  <c r="BI311"/>
  <c r="BZ309"/>
  <c r="CC309"/>
  <c r="BJ309"/>
  <c r="BM308"/>
  <c r="BJ308"/>
  <c r="AO308"/>
  <c r="AM308"/>
  <c r="AC308"/>
  <c r="AA308"/>
  <c r="O308"/>
  <c r="O296" s="1"/>
  <c r="M308"/>
  <c r="BZ307"/>
  <c r="CC307" s="1"/>
  <c r="BA307"/>
  <c r="BJ307" s="1"/>
  <c r="Y307"/>
  <c r="X307"/>
  <c r="DA306"/>
  <c r="DA296" s="1"/>
  <c r="BM306"/>
  <c r="BM296" s="1"/>
  <c r="BD306"/>
  <c r="BD296"/>
  <c r="BC306"/>
  <c r="BC296"/>
  <c r="BB306"/>
  <c r="BA306"/>
  <c r="AZ306"/>
  <c r="AZ296"/>
  <c r="AY306"/>
  <c r="AX306"/>
  <c r="AX296" s="1"/>
  <c r="AS306"/>
  <c r="AS296" s="1"/>
  <c r="AR306"/>
  <c r="AR296" s="1"/>
  <c r="AQ306"/>
  <c r="AQ296" s="1"/>
  <c r="AP306"/>
  <c r="AP296" s="1"/>
  <c r="AO306"/>
  <c r="AN306"/>
  <c r="AM306"/>
  <c r="AL306"/>
  <c r="AL296"/>
  <c r="AG306"/>
  <c r="AG296"/>
  <c r="AF306"/>
  <c r="AF296"/>
  <c r="AE306"/>
  <c r="AE296"/>
  <c r="AD306"/>
  <c r="AC306"/>
  <c r="AB306"/>
  <c r="AB296"/>
  <c r="AA306"/>
  <c r="Z306"/>
  <c r="Z296" s="1"/>
  <c r="U306"/>
  <c r="U296" s="1"/>
  <c r="T306"/>
  <c r="T296" s="1"/>
  <c r="S306"/>
  <c r="S296" s="1"/>
  <c r="R306"/>
  <c r="O306"/>
  <c r="N306"/>
  <c r="N296" s="1"/>
  <c r="M306"/>
  <c r="M296" s="1"/>
  <c r="L306"/>
  <c r="L296" s="1"/>
  <c r="K306"/>
  <c r="J306"/>
  <c r="J296"/>
  <c r="I306"/>
  <c r="H306"/>
  <c r="H296" s="1"/>
  <c r="BI305"/>
  <c r="BI302" s="1"/>
  <c r="BI304"/>
  <c r="BI303"/>
  <c r="BI301"/>
  <c r="BI300"/>
  <c r="BI298"/>
  <c r="BI297" s="1"/>
  <c r="CE296"/>
  <c r="CD296"/>
  <c r="BH296"/>
  <c r="BG296"/>
  <c r="BF296"/>
  <c r="BE296"/>
  <c r="BB296"/>
  <c r="AD296"/>
  <c r="K296"/>
  <c r="I296"/>
  <c r="G296"/>
  <c r="BZ295"/>
  <c r="CC295"/>
  <c r="BJ295"/>
  <c r="BZ294"/>
  <c r="CC294" s="1"/>
  <c r="BJ294"/>
  <c r="BH294"/>
  <c r="CF293"/>
  <c r="BM293"/>
  <c r="BJ293"/>
  <c r="BH293"/>
  <c r="AU293"/>
  <c r="AM293"/>
  <c r="AI293"/>
  <c r="AA293"/>
  <c r="W293"/>
  <c r="M293"/>
  <c r="BZ292"/>
  <c r="BJ292"/>
  <c r="BH292"/>
  <c r="CF291"/>
  <c r="BM291"/>
  <c r="BJ291"/>
  <c r="BH291"/>
  <c r="BZ290"/>
  <c r="CC290"/>
  <c r="BJ290"/>
  <c r="BH290"/>
  <c r="BH289" s="1"/>
  <c r="CF289"/>
  <c r="BZ289"/>
  <c r="CC289"/>
  <c r="BM289"/>
  <c r="BJ289"/>
  <c r="BZ288"/>
  <c r="CC288"/>
  <c r="BJ288"/>
  <c r="BZ287"/>
  <c r="CC287" s="1"/>
  <c r="BJ287"/>
  <c r="BZ286"/>
  <c r="CC286"/>
  <c r="BJ286"/>
  <c r="BF285"/>
  <c r="BF274" s="1"/>
  <c r="BH283"/>
  <c r="BZ282"/>
  <c r="CC282"/>
  <c r="BJ282"/>
  <c r="BH282"/>
  <c r="BH274" s="1"/>
  <c r="BH263" s="1"/>
  <c r="BH330" s="1"/>
  <c r="BZ281"/>
  <c r="CC281"/>
  <c r="BJ281"/>
  <c r="BZ280"/>
  <c r="CC280" s="1"/>
  <c r="BJ280"/>
  <c r="BH280"/>
  <c r="BZ278"/>
  <c r="CC278" s="1"/>
  <c r="BJ278"/>
  <c r="BH276"/>
  <c r="BZ275"/>
  <c r="CC275" s="1"/>
  <c r="BJ275"/>
  <c r="BH275"/>
  <c r="CF274"/>
  <c r="BM274"/>
  <c r="BJ274"/>
  <c r="AU274"/>
  <c r="AM274"/>
  <c r="AI274"/>
  <c r="AA274"/>
  <c r="W274"/>
  <c r="M274"/>
  <c r="BH272"/>
  <c r="BH271"/>
  <c r="BZ270"/>
  <c r="CF270"/>
  <c r="BJ270"/>
  <c r="BF270"/>
  <c r="BH270" s="1"/>
  <c r="BM269"/>
  <c r="BJ269"/>
  <c r="AM269"/>
  <c r="AM232" s="1"/>
  <c r="AM228" s="1"/>
  <c r="AA269"/>
  <c r="AA232"/>
  <c r="AA228" s="1"/>
  <c r="M269"/>
  <c r="M232" s="1"/>
  <c r="BJ268"/>
  <c r="BZ267"/>
  <c r="BJ267"/>
  <c r="BH267"/>
  <c r="BH266" s="1"/>
  <c r="CE266"/>
  <c r="BM266"/>
  <c r="BJ266"/>
  <c r="AU266"/>
  <c r="AM266"/>
  <c r="AI266"/>
  <c r="AA266"/>
  <c r="W266"/>
  <c r="M266"/>
  <c r="M263" s="1"/>
  <c r="BZ265"/>
  <c r="BJ265"/>
  <c r="BH265"/>
  <c r="CF264"/>
  <c r="BM264"/>
  <c r="BJ264"/>
  <c r="BH264"/>
  <c r="AU264"/>
  <c r="AU263" s="1"/>
  <c r="AU330" s="1"/>
  <c r="AU331" s="1"/>
  <c r="AM264"/>
  <c r="AM263"/>
  <c r="AM330" s="1"/>
  <c r="AM335" s="1"/>
  <c r="AI264"/>
  <c r="AA264"/>
  <c r="AA263" s="1"/>
  <c r="W264"/>
  <c r="M264"/>
  <c r="DA263"/>
  <c r="BM263"/>
  <c r="AY263"/>
  <c r="G263"/>
  <c r="AY260"/>
  <c r="AY255"/>
  <c r="CE255"/>
  <c r="CD255"/>
  <c r="BX255"/>
  <c r="BM255"/>
  <c r="BM249" s="1"/>
  <c r="BM245" s="1"/>
  <c r="BG255"/>
  <c r="BF255"/>
  <c r="BE255"/>
  <c r="BD255"/>
  <c r="BC255"/>
  <c r="BB255"/>
  <c r="BA255"/>
  <c r="AZ255"/>
  <c r="BK255"/>
  <c r="AX255"/>
  <c r="AS255"/>
  <c r="AS249" s="1"/>
  <c r="AS245" s="1"/>
  <c r="AR255"/>
  <c r="AR249"/>
  <c r="AR245" s="1"/>
  <c r="AQ255"/>
  <c r="AQ249" s="1"/>
  <c r="AQ245" s="1"/>
  <c r="AP255"/>
  <c r="AO255"/>
  <c r="AN255"/>
  <c r="AN249"/>
  <c r="AN245" s="1"/>
  <c r="AM255"/>
  <c r="AM249" s="1"/>
  <c r="AM245" s="1"/>
  <c r="AL255"/>
  <c r="AL249"/>
  <c r="AL245" s="1"/>
  <c r="AG255"/>
  <c r="AF255"/>
  <c r="AF249"/>
  <c r="AF245" s="1"/>
  <c r="AE255"/>
  <c r="AE249" s="1"/>
  <c r="AE245"/>
  <c r="AD255"/>
  <c r="AD249"/>
  <c r="AD245" s="1"/>
  <c r="AC255"/>
  <c r="AB255"/>
  <c r="AA255"/>
  <c r="AA249" s="1"/>
  <c r="AA245"/>
  <c r="Z255"/>
  <c r="Z249"/>
  <c r="Z245" s="1"/>
  <c r="U255"/>
  <c r="U249"/>
  <c r="U245" s="1"/>
  <c r="T255"/>
  <c r="T249" s="1"/>
  <c r="T245"/>
  <c r="S255"/>
  <c r="S249"/>
  <c r="S245" s="1"/>
  <c r="O255"/>
  <c r="N255"/>
  <c r="M255"/>
  <c r="M249" s="1"/>
  <c r="M245" s="1"/>
  <c r="L255"/>
  <c r="K255"/>
  <c r="J255"/>
  <c r="I255"/>
  <c r="H255"/>
  <c r="BY255"/>
  <c r="CE249"/>
  <c r="CD249"/>
  <c r="CD245" s="1"/>
  <c r="BX249"/>
  <c r="BG249"/>
  <c r="BF249"/>
  <c r="BE249"/>
  <c r="BD249"/>
  <c r="BC249"/>
  <c r="BB249"/>
  <c r="BA249"/>
  <c r="AZ249"/>
  <c r="AZ245"/>
  <c r="AX249"/>
  <c r="AP249"/>
  <c r="AP245" s="1"/>
  <c r="AG249"/>
  <c r="AG245" s="1"/>
  <c r="N249"/>
  <c r="N245"/>
  <c r="L249"/>
  <c r="L245" s="1"/>
  <c r="K249"/>
  <c r="K245" s="1"/>
  <c r="J249"/>
  <c r="J245" s="1"/>
  <c r="I249"/>
  <c r="I245" s="1"/>
  <c r="H249"/>
  <c r="H245" s="1"/>
  <c r="BY249"/>
  <c r="CE245"/>
  <c r="BX245"/>
  <c r="BG245"/>
  <c r="BF245"/>
  <c r="BE245"/>
  <c r="BD245"/>
  <c r="BC245"/>
  <c r="BB245"/>
  <c r="BA245"/>
  <c r="AX245"/>
  <c r="BZ245"/>
  <c r="DA244"/>
  <c r="DA240"/>
  <c r="BG240"/>
  <c r="BF240"/>
  <c r="BF234" s="1"/>
  <c r="BE240"/>
  <c r="BD240"/>
  <c r="BD234" s="1"/>
  <c r="BC240"/>
  <c r="BB240"/>
  <c r="BA240"/>
  <c r="DA239"/>
  <c r="DA235" s="1"/>
  <c r="BG239"/>
  <c r="BG235"/>
  <c r="BG234" s="1"/>
  <c r="BD239"/>
  <c r="BD235" s="1"/>
  <c r="BB239"/>
  <c r="BB235" s="1"/>
  <c r="DA238"/>
  <c r="G238"/>
  <c r="AY238"/>
  <c r="DA234"/>
  <c r="CE235"/>
  <c r="CD235"/>
  <c r="BX235"/>
  <c r="BM235"/>
  <c r="BZ235" s="1"/>
  <c r="BF235"/>
  <c r="BE235"/>
  <c r="BC235"/>
  <c r="BC234"/>
  <c r="BA235"/>
  <c r="AZ235"/>
  <c r="AS235"/>
  <c r="AR235"/>
  <c r="AQ235"/>
  <c r="AP235"/>
  <c r="AO235"/>
  <c r="AN235"/>
  <c r="AM235"/>
  <c r="AL235"/>
  <c r="AG235"/>
  <c r="AF235"/>
  <c r="AE235"/>
  <c r="AD235"/>
  <c r="AC235"/>
  <c r="AB235"/>
  <c r="AK235"/>
  <c r="AA235"/>
  <c r="Z235"/>
  <c r="U235"/>
  <c r="T235"/>
  <c r="S235"/>
  <c r="O235"/>
  <c r="N235"/>
  <c r="X235"/>
  <c r="M235"/>
  <c r="L235"/>
  <c r="K235"/>
  <c r="J235"/>
  <c r="I235"/>
  <c r="H235"/>
  <c r="G235"/>
  <c r="AX235" s="1"/>
  <c r="BE234"/>
  <c r="BZ233"/>
  <c r="CC233"/>
  <c r="BJ233"/>
  <c r="DA232"/>
  <c r="CE232"/>
  <c r="CE228"/>
  <c r="CD232"/>
  <c r="CD228"/>
  <c r="BX232"/>
  <c r="BM232"/>
  <c r="BG232"/>
  <c r="BF232"/>
  <c r="BE232"/>
  <c r="BD232"/>
  <c r="BC232"/>
  <c r="BB232"/>
  <c r="BA232"/>
  <c r="AZ232"/>
  <c r="AS232"/>
  <c r="AS228" s="1"/>
  <c r="AR232"/>
  <c r="AR228" s="1"/>
  <c r="AQ232"/>
  <c r="AQ228" s="1"/>
  <c r="AP232"/>
  <c r="AP228" s="1"/>
  <c r="AO232"/>
  <c r="AO228" s="1"/>
  <c r="AN232"/>
  <c r="AL232"/>
  <c r="AL228" s="1"/>
  <c r="AG232"/>
  <c r="AG228" s="1"/>
  <c r="AF232"/>
  <c r="AF228" s="1"/>
  <c r="AE232"/>
  <c r="AE228" s="1"/>
  <c r="AD232"/>
  <c r="AD228" s="1"/>
  <c r="AC232"/>
  <c r="AB232"/>
  <c r="AJ232"/>
  <c r="Z232"/>
  <c r="Z228"/>
  <c r="U232"/>
  <c r="U228"/>
  <c r="T232"/>
  <c r="T228"/>
  <c r="S232"/>
  <c r="S228"/>
  <c r="O232"/>
  <c r="O228"/>
  <c r="N232"/>
  <c r="N228"/>
  <c r="L232"/>
  <c r="L228" s="1"/>
  <c r="K232"/>
  <c r="K228" s="1"/>
  <c r="J232"/>
  <c r="J228" s="1"/>
  <c r="I232"/>
  <c r="I228" s="1"/>
  <c r="H232"/>
  <c r="H228" s="1"/>
  <c r="AX232"/>
  <c r="BY232"/>
  <c r="BZ222"/>
  <c r="CC222" s="1"/>
  <c r="BK222"/>
  <c r="BJ222"/>
  <c r="AX222"/>
  <c r="AW222"/>
  <c r="AV222"/>
  <c r="AK222"/>
  <c r="AJ222"/>
  <c r="N222"/>
  <c r="X222"/>
  <c r="L222"/>
  <c r="BZ220"/>
  <c r="CC220" s="1"/>
  <c r="BK220"/>
  <c r="BJ220"/>
  <c r="AX220"/>
  <c r="AW220"/>
  <c r="AV220"/>
  <c r="AK220"/>
  <c r="AJ220"/>
  <c r="N220"/>
  <c r="L220"/>
  <c r="BZ218"/>
  <c r="CC218"/>
  <c r="BJ218"/>
  <c r="BZ217"/>
  <c r="CC217" s="1"/>
  <c r="BJ217"/>
  <c r="BG214"/>
  <c r="BK212"/>
  <c r="BJ212"/>
  <c r="AX212"/>
  <c r="AW212"/>
  <c r="AV212"/>
  <c r="AK212"/>
  <c r="AJ212"/>
  <c r="N212"/>
  <c r="Y212"/>
  <c r="L212"/>
  <c r="BZ211"/>
  <c r="CC211" s="1"/>
  <c r="BK211"/>
  <c r="BJ211"/>
  <c r="AX211"/>
  <c r="AW211"/>
  <c r="AV211"/>
  <c r="AK211"/>
  <c r="AJ211"/>
  <c r="N211"/>
  <c r="Y211"/>
  <c r="L211"/>
  <c r="BZ210"/>
  <c r="CC210" s="1"/>
  <c r="BJ210"/>
  <c r="BK207"/>
  <c r="BJ207"/>
  <c r="AX207"/>
  <c r="AW207"/>
  <c r="AV207"/>
  <c r="AK207"/>
  <c r="AJ207"/>
  <c r="N207"/>
  <c r="X207" s="1"/>
  <c r="L207"/>
  <c r="BJ206"/>
  <c r="BZ205"/>
  <c r="CC205"/>
  <c r="BJ205"/>
  <c r="BZ202"/>
  <c r="CC202" s="1"/>
  <c r="BK202"/>
  <c r="BJ202"/>
  <c r="AX202"/>
  <c r="AW202"/>
  <c r="AV202"/>
  <c r="AK202"/>
  <c r="AJ202"/>
  <c r="N202"/>
  <c r="L202"/>
  <c r="BZ199"/>
  <c r="CC199"/>
  <c r="BK199"/>
  <c r="BJ199"/>
  <c r="AX199"/>
  <c r="AW199"/>
  <c r="AV199"/>
  <c r="AK199"/>
  <c r="AJ199"/>
  <c r="N199"/>
  <c r="Y199" s="1"/>
  <c r="L199"/>
  <c r="BZ197"/>
  <c r="CC197"/>
  <c r="BJ197"/>
  <c r="BZ189"/>
  <c r="CC189" s="1"/>
  <c r="BJ189"/>
  <c r="BG188"/>
  <c r="BJ183"/>
  <c r="BZ182"/>
  <c r="CC182"/>
  <c r="BJ182"/>
  <c r="BZ181"/>
  <c r="CC181" s="1"/>
  <c r="BK181"/>
  <c r="BJ181"/>
  <c r="AX181"/>
  <c r="AW181"/>
  <c r="AV181"/>
  <c r="AK181"/>
  <c r="AJ181"/>
  <c r="N181"/>
  <c r="X181"/>
  <c r="L181"/>
  <c r="BZ180"/>
  <c r="CC180" s="1"/>
  <c r="BJ180"/>
  <c r="BG180"/>
  <c r="BZ179"/>
  <c r="CC179" s="1"/>
  <c r="BJ179"/>
  <c r="CE178"/>
  <c r="CD178"/>
  <c r="BX178"/>
  <c r="BM178"/>
  <c r="BF178"/>
  <c r="BE178"/>
  <c r="BE168" s="1"/>
  <c r="BD178"/>
  <c r="BC178"/>
  <c r="BB178"/>
  <c r="BA178"/>
  <c r="AZ178"/>
  <c r="AS178"/>
  <c r="AR178"/>
  <c r="AQ178"/>
  <c r="AP178"/>
  <c r="AO178"/>
  <c r="AN178"/>
  <c r="AM178"/>
  <c r="AL178"/>
  <c r="AG178"/>
  <c r="AF178"/>
  <c r="AE178"/>
  <c r="AD178"/>
  <c r="AC178"/>
  <c r="AJ178"/>
  <c r="AB178"/>
  <c r="AA178"/>
  <c r="Z178"/>
  <c r="U178"/>
  <c r="T178"/>
  <c r="S178"/>
  <c r="O178"/>
  <c r="N178"/>
  <c r="M178"/>
  <c r="L178"/>
  <c r="K178"/>
  <c r="J178"/>
  <c r="I178"/>
  <c r="H178"/>
  <c r="BZ177"/>
  <c r="CC177" s="1"/>
  <c r="BJ177"/>
  <c r="AY177"/>
  <c r="AY176"/>
  <c r="BZ175"/>
  <c r="CC175"/>
  <c r="BJ175"/>
  <c r="AY175"/>
  <c r="AY174" s="1"/>
  <c r="CE174"/>
  <c r="CD174"/>
  <c r="BX174"/>
  <c r="BM174"/>
  <c r="BG174"/>
  <c r="BF174"/>
  <c r="BF168" s="1"/>
  <c r="BF167" s="1"/>
  <c r="BE174"/>
  <c r="BD174"/>
  <c r="BC174"/>
  <c r="BB174"/>
  <c r="BA174"/>
  <c r="AZ174"/>
  <c r="AX174"/>
  <c r="AS174"/>
  <c r="AR174"/>
  <c r="AQ174"/>
  <c r="AP174"/>
  <c r="AO174"/>
  <c r="AN174"/>
  <c r="AW174" s="1"/>
  <c r="AM174"/>
  <c r="AL174"/>
  <c r="AG174"/>
  <c r="AF174"/>
  <c r="AE174"/>
  <c r="AD174"/>
  <c r="AC174"/>
  <c r="AJ174" s="1"/>
  <c r="AB174"/>
  <c r="AA174"/>
  <c r="Z174"/>
  <c r="U174"/>
  <c r="T174"/>
  <c r="S174"/>
  <c r="O174"/>
  <c r="N174"/>
  <c r="M174"/>
  <c r="BZ174"/>
  <c r="CB174" s="1"/>
  <c r="L174"/>
  <c r="K174"/>
  <c r="J174"/>
  <c r="I174"/>
  <c r="H174"/>
  <c r="BY174"/>
  <c r="DA173"/>
  <c r="DA169"/>
  <c r="DA168" s="1"/>
  <c r="DA167" s="1"/>
  <c r="BZ173"/>
  <c r="BY173"/>
  <c r="BK173"/>
  <c r="BJ173"/>
  <c r="BG173"/>
  <c r="BF173"/>
  <c r="BF169" s="1"/>
  <c r="BD173"/>
  <c r="BB173"/>
  <c r="BB169" s="1"/>
  <c r="AX173"/>
  <c r="AW173"/>
  <c r="AV173"/>
  <c r="AK173"/>
  <c r="AJ173"/>
  <c r="T173"/>
  <c r="R173"/>
  <c r="N173"/>
  <c r="L173"/>
  <c r="DA172"/>
  <c r="AZ172"/>
  <c r="BK172"/>
  <c r="AS172"/>
  <c r="AR172"/>
  <c r="AQ172"/>
  <c r="AP172"/>
  <c r="AO172"/>
  <c r="AN172"/>
  <c r="AM172"/>
  <c r="AL172"/>
  <c r="AG172"/>
  <c r="AF172"/>
  <c r="AE172"/>
  <c r="AD172"/>
  <c r="AC172"/>
  <c r="AB172"/>
  <c r="AA172"/>
  <c r="Z172"/>
  <c r="U172"/>
  <c r="S172"/>
  <c r="R172"/>
  <c r="O172"/>
  <c r="M172"/>
  <c r="K172"/>
  <c r="J172"/>
  <c r="I172"/>
  <c r="H172"/>
  <c r="G172"/>
  <c r="BZ171"/>
  <c r="BY171"/>
  <c r="CA171" s="1"/>
  <c r="BK171"/>
  <c r="BJ171"/>
  <c r="AW171"/>
  <c r="AV171"/>
  <c r="AK171"/>
  <c r="AJ171"/>
  <c r="Y171"/>
  <c r="X171"/>
  <c r="BZ170"/>
  <c r="BY170"/>
  <c r="BK170"/>
  <c r="BJ170"/>
  <c r="AX170"/>
  <c r="AX172" s="1"/>
  <c r="AW170"/>
  <c r="AV170"/>
  <c r="AK170"/>
  <c r="AJ170"/>
  <c r="T170"/>
  <c r="N170"/>
  <c r="L170"/>
  <c r="CE169"/>
  <c r="BX169"/>
  <c r="BM169"/>
  <c r="BG169"/>
  <c r="BE169"/>
  <c r="BD169"/>
  <c r="BC169"/>
  <c r="BA169"/>
  <c r="AZ169"/>
  <c r="AY169"/>
  <c r="AS169"/>
  <c r="AS167" s="1"/>
  <c r="AR169"/>
  <c r="AR167"/>
  <c r="AQ169"/>
  <c r="AP169"/>
  <c r="AP167" s="1"/>
  <c r="AO169"/>
  <c r="AO167" s="1"/>
  <c r="AN169"/>
  <c r="AW169"/>
  <c r="AM169"/>
  <c r="AM167"/>
  <c r="AL169"/>
  <c r="AL167"/>
  <c r="AG169"/>
  <c r="AG167"/>
  <c r="AF169"/>
  <c r="AE169"/>
  <c r="AE167" s="1"/>
  <c r="AD169"/>
  <c r="AD167" s="1"/>
  <c r="AC169"/>
  <c r="AJ169" s="1"/>
  <c r="AB169"/>
  <c r="AA169"/>
  <c r="AA167" s="1"/>
  <c r="Z169"/>
  <c r="Z167" s="1"/>
  <c r="U169"/>
  <c r="U167" s="1"/>
  <c r="S169"/>
  <c r="O169"/>
  <c r="M169"/>
  <c r="M167" s="1"/>
  <c r="K169"/>
  <c r="K167" s="1"/>
  <c r="J169"/>
  <c r="J167" s="1"/>
  <c r="I169"/>
  <c r="I167" s="1"/>
  <c r="H169"/>
  <c r="G169"/>
  <c r="BY169"/>
  <c r="AQ167"/>
  <c r="AN167"/>
  <c r="AF167"/>
  <c r="AB167"/>
  <c r="Y167"/>
  <c r="X167"/>
  <c r="H167"/>
  <c r="BZ165"/>
  <c r="CC165"/>
  <c r="BJ165"/>
  <c r="AX165"/>
  <c r="R165"/>
  <c r="L165"/>
  <c r="I165"/>
  <c r="K165"/>
  <c r="T165" s="1"/>
  <c r="BZ158"/>
  <c r="CC158" s="1"/>
  <c r="BJ158"/>
  <c r="BZ156"/>
  <c r="CC156"/>
  <c r="BJ156"/>
  <c r="AX156"/>
  <c r="R156"/>
  <c r="L156"/>
  <c r="L146" s="1"/>
  <c r="K156"/>
  <c r="BZ147"/>
  <c r="CC147" s="1"/>
  <c r="BJ147"/>
  <c r="DA146"/>
  <c r="BM146"/>
  <c r="BG146"/>
  <c r="BF146"/>
  <c r="BE146"/>
  <c r="BD146"/>
  <c r="BC146"/>
  <c r="BB146"/>
  <c r="BA146"/>
  <c r="AZ146"/>
  <c r="AS146"/>
  <c r="AR146"/>
  <c r="AQ146"/>
  <c r="AP146"/>
  <c r="AO146"/>
  <c r="AN146"/>
  <c r="AM146"/>
  <c r="AL146"/>
  <c r="AG146"/>
  <c r="AF146"/>
  <c r="AE146"/>
  <c r="AD146"/>
  <c r="AC146"/>
  <c r="AB146"/>
  <c r="AA146"/>
  <c r="Z146"/>
  <c r="U146"/>
  <c r="M146"/>
  <c r="J146"/>
  <c r="I146"/>
  <c r="H146"/>
  <c r="AX146"/>
  <c r="BZ145"/>
  <c r="CC145"/>
  <c r="BJ145"/>
  <c r="DA144"/>
  <c r="CD144"/>
  <c r="BM144"/>
  <c r="BG144"/>
  <c r="BE144"/>
  <c r="BD144"/>
  <c r="BC144"/>
  <c r="BB144"/>
  <c r="BA144"/>
  <c r="AS144"/>
  <c r="AR144"/>
  <c r="AQ144"/>
  <c r="AP144"/>
  <c r="AO144"/>
  <c r="AN144"/>
  <c r="AM144"/>
  <c r="AL144"/>
  <c r="AG144"/>
  <c r="AF144"/>
  <c r="AE144"/>
  <c r="AD144"/>
  <c r="AC144"/>
  <c r="AB144"/>
  <c r="AA144"/>
  <c r="Z144"/>
  <c r="U144"/>
  <c r="T144"/>
  <c r="R144"/>
  <c r="N144"/>
  <c r="M144"/>
  <c r="L144"/>
  <c r="K144"/>
  <c r="J144"/>
  <c r="I144"/>
  <c r="H144"/>
  <c r="AZ144" s="1"/>
  <c r="AX144"/>
  <c r="BZ143"/>
  <c r="BY143"/>
  <c r="CA143" s="1"/>
  <c r="BK143"/>
  <c r="BJ143"/>
  <c r="AX143"/>
  <c r="AW143"/>
  <c r="AV143"/>
  <c r="AK143"/>
  <c r="AJ143"/>
  <c r="Y143"/>
  <c r="X143"/>
  <c r="T143"/>
  <c r="L143"/>
  <c r="BZ142"/>
  <c r="BY142"/>
  <c r="CB142"/>
  <c r="BK142"/>
  <c r="BJ142"/>
  <c r="AX142"/>
  <c r="AW142"/>
  <c r="AV142"/>
  <c r="AK142"/>
  <c r="AJ142"/>
  <c r="T142"/>
  <c r="T141" s="1"/>
  <c r="O142"/>
  <c r="X142"/>
  <c r="L142"/>
  <c r="DA141"/>
  <c r="CE141"/>
  <c r="BY141"/>
  <c r="BM141"/>
  <c r="BG141"/>
  <c r="BG135" s="1"/>
  <c r="BF141"/>
  <c r="BE141"/>
  <c r="BE135" s="1"/>
  <c r="BD141"/>
  <c r="BC141"/>
  <c r="BB141"/>
  <c r="BA141"/>
  <c r="AZ141"/>
  <c r="AY141"/>
  <c r="AX141"/>
  <c r="AT141"/>
  <c r="AS141"/>
  <c r="AR141"/>
  <c r="AQ141"/>
  <c r="AP141"/>
  <c r="AO141"/>
  <c r="AN141"/>
  <c r="AV141" s="1"/>
  <c r="AM141"/>
  <c r="AL141"/>
  <c r="AH141"/>
  <c r="AG141"/>
  <c r="AF141"/>
  <c r="AE141"/>
  <c r="AD141"/>
  <c r="AC141"/>
  <c r="AB141"/>
  <c r="AA141"/>
  <c r="Z141"/>
  <c r="U141"/>
  <c r="P141"/>
  <c r="N141"/>
  <c r="X141" s="1"/>
  <c r="M141"/>
  <c r="BZ141" s="1"/>
  <c r="L141"/>
  <c r="K141"/>
  <c r="J141"/>
  <c r="I141"/>
  <c r="H141"/>
  <c r="DA140"/>
  <c r="DA136" s="1"/>
  <c r="DA135" s="1"/>
  <c r="BZ140"/>
  <c r="BK140"/>
  <c r="BJ140"/>
  <c r="BG140"/>
  <c r="BG136"/>
  <c r="BF140"/>
  <c r="BF136"/>
  <c r="BD140"/>
  <c r="BD136"/>
  <c r="BD135" s="1"/>
  <c r="BB140"/>
  <c r="BB136" s="1"/>
  <c r="BB135" s="1"/>
  <c r="AX140"/>
  <c r="AW140"/>
  <c r="AV140"/>
  <c r="AK140"/>
  <c r="AJ140"/>
  <c r="Y140"/>
  <c r="X140"/>
  <c r="T140"/>
  <c r="L140"/>
  <c r="BY140"/>
  <c r="DA139"/>
  <c r="BM139"/>
  <c r="AZ139"/>
  <c r="BK139"/>
  <c r="AS139"/>
  <c r="AR139"/>
  <c r="AQ139"/>
  <c r="AP139"/>
  <c r="AO139"/>
  <c r="AN139"/>
  <c r="AW139" s="1"/>
  <c r="AM139"/>
  <c r="AL139"/>
  <c r="AG139"/>
  <c r="AF139"/>
  <c r="AE139"/>
  <c r="AD139"/>
  <c r="AC139"/>
  <c r="AK139" s="1"/>
  <c r="AB139"/>
  <c r="AJ139"/>
  <c r="AA139"/>
  <c r="Z139"/>
  <c r="U139"/>
  <c r="S139"/>
  <c r="R139"/>
  <c r="N139"/>
  <c r="M139"/>
  <c r="K139"/>
  <c r="J139"/>
  <c r="I139"/>
  <c r="H139"/>
  <c r="BZ138"/>
  <c r="CC138" s="1"/>
  <c r="BY138"/>
  <c r="CB138"/>
  <c r="BK138"/>
  <c r="BJ138"/>
  <c r="AW138"/>
  <c r="AV138"/>
  <c r="AK138"/>
  <c r="AJ138"/>
  <c r="Y138"/>
  <c r="X138"/>
  <c r="BZ137"/>
  <c r="CC137"/>
  <c r="BK137"/>
  <c r="BJ137"/>
  <c r="AY139"/>
  <c r="AX137"/>
  <c r="AX139" s="1"/>
  <c r="AW137"/>
  <c r="AV137"/>
  <c r="AK137"/>
  <c r="AJ137"/>
  <c r="T137"/>
  <c r="O137"/>
  <c r="L137"/>
  <c r="CE136"/>
  <c r="BM136"/>
  <c r="BE136"/>
  <c r="BC136"/>
  <c r="BA136"/>
  <c r="BA135" s="1"/>
  <c r="AZ136"/>
  <c r="BJ136"/>
  <c r="AY136"/>
  <c r="AY135"/>
  <c r="AT136"/>
  <c r="AS136"/>
  <c r="AR136"/>
  <c r="AR135"/>
  <c r="AQ136"/>
  <c r="AQ135"/>
  <c r="AP136"/>
  <c r="AP135"/>
  <c r="AO136"/>
  <c r="AN136"/>
  <c r="AM136"/>
  <c r="AM135" s="1"/>
  <c r="AL136"/>
  <c r="AL135" s="1"/>
  <c r="AH136"/>
  <c r="AH135" s="1"/>
  <c r="AG136"/>
  <c r="AG135" s="1"/>
  <c r="AF136"/>
  <c r="AF135" s="1"/>
  <c r="AE136"/>
  <c r="AE135" s="1"/>
  <c r="AD136"/>
  <c r="AD135" s="1"/>
  <c r="AC136"/>
  <c r="AB136"/>
  <c r="AB135"/>
  <c r="AA136"/>
  <c r="Z136"/>
  <c r="Z135" s="1"/>
  <c r="U136"/>
  <c r="U135" s="1"/>
  <c r="U166" s="1"/>
  <c r="P136"/>
  <c r="N136"/>
  <c r="X136"/>
  <c r="M136"/>
  <c r="BZ136"/>
  <c r="K136"/>
  <c r="K135" s="1"/>
  <c r="J136"/>
  <c r="J135"/>
  <c r="I136"/>
  <c r="I135"/>
  <c r="H136"/>
  <c r="H135"/>
  <c r="G136"/>
  <c r="BY136"/>
  <c r="AT135"/>
  <c r="AC135"/>
  <c r="V135"/>
  <c r="R135"/>
  <c r="Q135"/>
  <c r="BZ134"/>
  <c r="CC134" s="1"/>
  <c r="BJ134"/>
  <c r="BZ123"/>
  <c r="CC123" s="1"/>
  <c r="BJ123"/>
  <c r="BZ122"/>
  <c r="CC122"/>
  <c r="BJ122"/>
  <c r="DA108"/>
  <c r="BG108"/>
  <c r="BF108"/>
  <c r="BE108"/>
  <c r="BD108"/>
  <c r="BC108"/>
  <c r="BB108"/>
  <c r="BA108"/>
  <c r="DA98"/>
  <c r="BF98"/>
  <c r="BC98"/>
  <c r="BC91" s="1"/>
  <c r="BB98"/>
  <c r="BA98"/>
  <c r="BZ97"/>
  <c r="CC97"/>
  <c r="BA97"/>
  <c r="BJ97"/>
  <c r="Y97"/>
  <c r="X97"/>
  <c r="DA96"/>
  <c r="CC95"/>
  <c r="BJ95"/>
  <c r="AY93"/>
  <c r="AY91" s="1"/>
  <c r="AX95"/>
  <c r="BZ94"/>
  <c r="CC94"/>
  <c r="BJ94"/>
  <c r="DA93"/>
  <c r="DA91" s="1"/>
  <c r="DA50" s="1"/>
  <c r="DA166" s="1"/>
  <c r="DA330" s="1"/>
  <c r="BG93"/>
  <c r="BG91"/>
  <c r="BF93"/>
  <c r="BF91"/>
  <c r="BE93"/>
  <c r="BE91"/>
  <c r="BE50" s="1"/>
  <c r="BD93"/>
  <c r="BD91"/>
  <c r="BC93"/>
  <c r="BB93"/>
  <c r="BB91" s="1"/>
  <c r="BA93"/>
  <c r="BA91" s="1"/>
  <c r="AX93"/>
  <c r="AX92"/>
  <c r="CE91"/>
  <c r="CD91"/>
  <c r="BM91"/>
  <c r="AS91"/>
  <c r="AR91"/>
  <c r="AQ91"/>
  <c r="AP91"/>
  <c r="AO91"/>
  <c r="AN91"/>
  <c r="AM91"/>
  <c r="AL91"/>
  <c r="AG91"/>
  <c r="AF91"/>
  <c r="AE91"/>
  <c r="AD91"/>
  <c r="AC91"/>
  <c r="AB91"/>
  <c r="AA91"/>
  <c r="Z91"/>
  <c r="U91"/>
  <c r="T91"/>
  <c r="S91"/>
  <c r="R91"/>
  <c r="N91"/>
  <c r="M91"/>
  <c r="BZ91"/>
  <c r="L91"/>
  <c r="K91"/>
  <c r="J91"/>
  <c r="I91"/>
  <c r="H91"/>
  <c r="AZ91"/>
  <c r="AX90"/>
  <c r="L90"/>
  <c r="BZ89"/>
  <c r="CD89"/>
  <c r="BK89"/>
  <c r="BJ89"/>
  <c r="AX89"/>
  <c r="AW89"/>
  <c r="AV89"/>
  <c r="AK89"/>
  <c r="AJ89"/>
  <c r="R89"/>
  <c r="N89"/>
  <c r="L89"/>
  <c r="I89"/>
  <c r="K89"/>
  <c r="T89" s="1"/>
  <c r="BZ88"/>
  <c r="CC88"/>
  <c r="BK88"/>
  <c r="BJ88"/>
  <c r="AX88"/>
  <c r="AW88"/>
  <c r="AV88"/>
  <c r="AK88"/>
  <c r="AJ88"/>
  <c r="R88"/>
  <c r="N88"/>
  <c r="Y88"/>
  <c r="L88"/>
  <c r="I88"/>
  <c r="K88" s="1"/>
  <c r="T88" s="1"/>
  <c r="BZ87"/>
  <c r="BK87"/>
  <c r="BJ87"/>
  <c r="AX87"/>
  <c r="AW87"/>
  <c r="AV87"/>
  <c r="AK87"/>
  <c r="AJ87"/>
  <c r="R87"/>
  <c r="N87"/>
  <c r="L87"/>
  <c r="I87"/>
  <c r="BZ86"/>
  <c r="CC86" s="1"/>
  <c r="BK86"/>
  <c r="BJ86"/>
  <c r="AX86"/>
  <c r="AW86"/>
  <c r="AV86"/>
  <c r="AK86"/>
  <c r="AJ86"/>
  <c r="R86"/>
  <c r="N86"/>
  <c r="Y86" s="1"/>
  <c r="L86"/>
  <c r="I86"/>
  <c r="DA85"/>
  <c r="CE85"/>
  <c r="BM85"/>
  <c r="BG85"/>
  <c r="BF85"/>
  <c r="BE85"/>
  <c r="BD85"/>
  <c r="BC85"/>
  <c r="BB85"/>
  <c r="BA85"/>
  <c r="AZ85"/>
  <c r="AT85"/>
  <c r="AS85"/>
  <c r="AR85"/>
  <c r="AQ85"/>
  <c r="AP85"/>
  <c r="AO85"/>
  <c r="AW85" s="1"/>
  <c r="AN85"/>
  <c r="AM85"/>
  <c r="AL85"/>
  <c r="AH85"/>
  <c r="AG85"/>
  <c r="AF85"/>
  <c r="AE85"/>
  <c r="AD85"/>
  <c r="AC85"/>
  <c r="AB85"/>
  <c r="AA85"/>
  <c r="Z85"/>
  <c r="Y85"/>
  <c r="X85"/>
  <c r="U85"/>
  <c r="M85"/>
  <c r="BZ85" s="1"/>
  <c r="J85"/>
  <c r="H85"/>
  <c r="BZ84"/>
  <c r="CC84" s="1"/>
  <c r="BJ84"/>
  <c r="AX84"/>
  <c r="BZ83"/>
  <c r="CC83" s="1"/>
  <c r="BJ83"/>
  <c r="AX83"/>
  <c r="BZ82"/>
  <c r="CC82" s="1"/>
  <c r="BJ82"/>
  <c r="AX82"/>
  <c r="AX81"/>
  <c r="AX80"/>
  <c r="AX79"/>
  <c r="BZ78"/>
  <c r="CC78"/>
  <c r="BJ78"/>
  <c r="AX78"/>
  <c r="BZ76"/>
  <c r="CC76"/>
  <c r="BJ76"/>
  <c r="AX76"/>
  <c r="BJ75"/>
  <c r="AX75"/>
  <c r="BZ74"/>
  <c r="CD74"/>
  <c r="CD71" s="1"/>
  <c r="BK74"/>
  <c r="BJ74"/>
  <c r="AX74"/>
  <c r="AW74"/>
  <c r="AV74"/>
  <c r="AK74"/>
  <c r="AJ74"/>
  <c r="T74"/>
  <c r="T71"/>
  <c r="R74"/>
  <c r="N74"/>
  <c r="X74" s="1"/>
  <c r="L71"/>
  <c r="BJ72"/>
  <c r="AX72"/>
  <c r="DA71"/>
  <c r="CE71"/>
  <c r="BM71"/>
  <c r="BG71"/>
  <c r="BF71"/>
  <c r="BE71"/>
  <c r="BD71"/>
  <c r="BC71"/>
  <c r="BB71"/>
  <c r="BA71"/>
  <c r="AZ71"/>
  <c r="AS71"/>
  <c r="AR71"/>
  <c r="AQ71"/>
  <c r="AP71"/>
  <c r="AO71"/>
  <c r="AN71"/>
  <c r="AM71"/>
  <c r="AL71"/>
  <c r="AG71"/>
  <c r="AF71"/>
  <c r="AE71"/>
  <c r="AD71"/>
  <c r="AC71"/>
  <c r="AB71"/>
  <c r="AA71"/>
  <c r="Z71"/>
  <c r="Y71"/>
  <c r="X71"/>
  <c r="U71"/>
  <c r="M71"/>
  <c r="K71"/>
  <c r="J71"/>
  <c r="I71"/>
  <c r="H71"/>
  <c r="CC69"/>
  <c r="BJ69"/>
  <c r="BB69"/>
  <c r="BB68" s="1"/>
  <c r="AX69"/>
  <c r="L69"/>
  <c r="L68"/>
  <c r="DA68"/>
  <c r="CE68"/>
  <c r="CD68"/>
  <c r="BY68"/>
  <c r="BG68"/>
  <c r="BF68"/>
  <c r="BE68"/>
  <c r="BD68"/>
  <c r="BC68"/>
  <c r="BA68"/>
  <c r="AS68"/>
  <c r="AR68"/>
  <c r="AQ68"/>
  <c r="AP68"/>
  <c r="AO68"/>
  <c r="AN68"/>
  <c r="AM68"/>
  <c r="AL68"/>
  <c r="AG68"/>
  <c r="AF68"/>
  <c r="AE68"/>
  <c r="AD68"/>
  <c r="AC68"/>
  <c r="AB68"/>
  <c r="AA68"/>
  <c r="Z68"/>
  <c r="U68"/>
  <c r="T68"/>
  <c r="S68"/>
  <c r="Q68"/>
  <c r="O68"/>
  <c r="N68"/>
  <c r="M68"/>
  <c r="BZ68"/>
  <c r="CB68" s="1"/>
  <c r="K68"/>
  <c r="J68"/>
  <c r="I68"/>
  <c r="H68"/>
  <c r="AZ68" s="1"/>
  <c r="BJ68"/>
  <c r="AX68"/>
  <c r="BZ67"/>
  <c r="CC67" s="1"/>
  <c r="BK67"/>
  <c r="BJ67"/>
  <c r="AX67"/>
  <c r="AW67"/>
  <c r="AV67"/>
  <c r="AK67"/>
  <c r="AJ67"/>
  <c r="N67"/>
  <c r="X67"/>
  <c r="L67"/>
  <c r="BZ66"/>
  <c r="CC66" s="1"/>
  <c r="BK66"/>
  <c r="BJ66"/>
  <c r="AX66"/>
  <c r="AW66"/>
  <c r="AV66"/>
  <c r="AK66"/>
  <c r="AJ66"/>
  <c r="N66"/>
  <c r="L66"/>
  <c r="BY58"/>
  <c r="BG58"/>
  <c r="BG57" s="1"/>
  <c r="BF58"/>
  <c r="BF57" s="1"/>
  <c r="DA57"/>
  <c r="CE57"/>
  <c r="CD57"/>
  <c r="BY57"/>
  <c r="BM57"/>
  <c r="BZ57" s="1"/>
  <c r="BE57"/>
  <c r="BD57"/>
  <c r="BC57"/>
  <c r="BB57"/>
  <c r="BB50" s="1"/>
  <c r="BB166" s="1"/>
  <c r="BA57"/>
  <c r="BJ57"/>
  <c r="AZ57"/>
  <c r="AT57"/>
  <c r="AS57"/>
  <c r="AR57"/>
  <c r="AQ57"/>
  <c r="AP57"/>
  <c r="AO57"/>
  <c r="AN57"/>
  <c r="AV57" s="1"/>
  <c r="AM57"/>
  <c r="AL57"/>
  <c r="AH57"/>
  <c r="AG57"/>
  <c r="AF57"/>
  <c r="AE57"/>
  <c r="AD57"/>
  <c r="AC57"/>
  <c r="AB57"/>
  <c r="AA57"/>
  <c r="Z57"/>
  <c r="Y57"/>
  <c r="X57"/>
  <c r="U57"/>
  <c r="T57"/>
  <c r="M57"/>
  <c r="K57"/>
  <c r="J57"/>
  <c r="I57"/>
  <c r="H57"/>
  <c r="AX57"/>
  <c r="DA56"/>
  <c r="DA52" s="1"/>
  <c r="BZ56"/>
  <c r="CD56" s="1"/>
  <c r="BK56"/>
  <c r="BJ56"/>
  <c r="BG56"/>
  <c r="BG52"/>
  <c r="BG50" s="1"/>
  <c r="BG166" s="1"/>
  <c r="BG330" s="1"/>
  <c r="BF56"/>
  <c r="BF52" s="1"/>
  <c r="BF50" s="1"/>
  <c r="BF166" s="1"/>
  <c r="BF330" s="1"/>
  <c r="BD56"/>
  <c r="BD52" s="1"/>
  <c r="BD50" s="1"/>
  <c r="BB56"/>
  <c r="BB52" s="1"/>
  <c r="AW56"/>
  <c r="AV56"/>
  <c r="AK56"/>
  <c r="AJ56"/>
  <c r="Y56"/>
  <c r="X56"/>
  <c r="T56"/>
  <c r="T52" s="1"/>
  <c r="DA55"/>
  <c r="CE55"/>
  <c r="BM55"/>
  <c r="AZ55"/>
  <c r="BJ55" s="1"/>
  <c r="AS55"/>
  <c r="AR55"/>
  <c r="AQ55"/>
  <c r="AP55"/>
  <c r="AO55"/>
  <c r="AV55"/>
  <c r="AN55"/>
  <c r="AM55"/>
  <c r="AL55"/>
  <c r="AG55"/>
  <c r="AF55"/>
  <c r="AE55"/>
  <c r="AD55"/>
  <c r="AC55"/>
  <c r="AJ55" s="1"/>
  <c r="AB55"/>
  <c r="AK55"/>
  <c r="AA55"/>
  <c r="Z55"/>
  <c r="U55"/>
  <c r="S55"/>
  <c r="R55"/>
  <c r="Q55"/>
  <c r="O55"/>
  <c r="N55"/>
  <c r="M55"/>
  <c r="BZ55" s="1"/>
  <c r="K55"/>
  <c r="J55"/>
  <c r="I55"/>
  <c r="H55"/>
  <c r="BZ54"/>
  <c r="BY54"/>
  <c r="CB54" s="1"/>
  <c r="BK54"/>
  <c r="BJ54"/>
  <c r="AW54"/>
  <c r="AV54"/>
  <c r="AK54"/>
  <c r="AJ54"/>
  <c r="Y54"/>
  <c r="X54"/>
  <c r="BZ53"/>
  <c r="BK53"/>
  <c r="BJ53"/>
  <c r="AY55"/>
  <c r="AX53"/>
  <c r="AX55"/>
  <c r="AW53"/>
  <c r="AV53"/>
  <c r="AK53"/>
  <c r="AJ53"/>
  <c r="Y53"/>
  <c r="X53"/>
  <c r="T53"/>
  <c r="T55"/>
  <c r="L53"/>
  <c r="L55"/>
  <c r="CE52"/>
  <c r="CE50"/>
  <c r="CE166" s="1"/>
  <c r="CE330"/>
  <c r="CE331" s="1"/>
  <c r="BM52"/>
  <c r="BM50"/>
  <c r="BM166" s="1"/>
  <c r="BE52"/>
  <c r="BC52"/>
  <c r="BC50" s="1"/>
  <c r="BA52"/>
  <c r="BJ52"/>
  <c r="AZ52"/>
  <c r="AY52"/>
  <c r="AY50" s="1"/>
  <c r="AY166" s="1"/>
  <c r="AY330" s="1"/>
  <c r="AT52"/>
  <c r="AT50"/>
  <c r="AS52"/>
  <c r="AS50"/>
  <c r="AR52"/>
  <c r="AR50"/>
  <c r="AR166" s="1"/>
  <c r="AR330"/>
  <c r="AQ52"/>
  <c r="AP52"/>
  <c r="AP50" s="1"/>
  <c r="AO52"/>
  <c r="AN52"/>
  <c r="AN50" s="1"/>
  <c r="AM52"/>
  <c r="AM50" s="1"/>
  <c r="AM166" s="1"/>
  <c r="AL52"/>
  <c r="AL50" s="1"/>
  <c r="AL166" s="1"/>
  <c r="AL330" s="1"/>
  <c r="AL336" s="1"/>
  <c r="AH52"/>
  <c r="AH50"/>
  <c r="AH166" s="1"/>
  <c r="AH330" s="1"/>
  <c r="AH338" s="1"/>
  <c r="AG52"/>
  <c r="AG50"/>
  <c r="AG166" s="1"/>
  <c r="AG330" s="1"/>
  <c r="AF52"/>
  <c r="AF50"/>
  <c r="AE52"/>
  <c r="AE50"/>
  <c r="AD52"/>
  <c r="AD50"/>
  <c r="AC52"/>
  <c r="AB52"/>
  <c r="AA52"/>
  <c r="AA50"/>
  <c r="Z52"/>
  <c r="Z50"/>
  <c r="V52"/>
  <c r="S52"/>
  <c r="R52"/>
  <c r="R50" s="1"/>
  <c r="R166"/>
  <c r="Q52"/>
  <c r="Q50"/>
  <c r="Q166" s="1"/>
  <c r="O52"/>
  <c r="Y52" s="1"/>
  <c r="M52"/>
  <c r="BZ52"/>
  <c r="CC52" s="1"/>
  <c r="K52"/>
  <c r="K50"/>
  <c r="J52"/>
  <c r="I52"/>
  <c r="I50" s="1"/>
  <c r="H52"/>
  <c r="H50" s="1"/>
  <c r="H166" s="1"/>
  <c r="H330" s="1"/>
  <c r="BZ51"/>
  <c r="BK51"/>
  <c r="BJ51"/>
  <c r="AX51"/>
  <c r="AW51"/>
  <c r="AV51"/>
  <c r="AK51"/>
  <c r="AJ51"/>
  <c r="Y51"/>
  <c r="X51"/>
  <c r="T51"/>
  <c r="L51"/>
  <c r="CF50"/>
  <c r="BX50"/>
  <c r="BX166"/>
  <c r="BX330" s="1"/>
  <c r="AZ50"/>
  <c r="AZ166" s="1"/>
  <c r="AZ330" s="1"/>
  <c r="AQ50"/>
  <c r="AO50"/>
  <c r="V50"/>
  <c r="V166" s="1"/>
  <c r="V330" s="1"/>
  <c r="U50"/>
  <c r="S50"/>
  <c r="S166" s="1"/>
  <c r="P50"/>
  <c r="P166" s="1"/>
  <c r="O50"/>
  <c r="X50" s="1"/>
  <c r="N50"/>
  <c r="N166"/>
  <c r="J50"/>
  <c r="BZ49"/>
  <c r="CC49" s="1"/>
  <c r="BI49"/>
  <c r="BH48"/>
  <c r="BH47"/>
  <c r="BH46"/>
  <c r="BH39"/>
  <c r="BG45"/>
  <c r="BG44"/>
  <c r="BF43"/>
  <c r="BF39"/>
  <c r="BE42"/>
  <c r="BZ41"/>
  <c r="BY41"/>
  <c r="BC41"/>
  <c r="BK41"/>
  <c r="AX41"/>
  <c r="BZ40"/>
  <c r="BY40"/>
  <c r="BA40"/>
  <c r="BJ40"/>
  <c r="AX40"/>
  <c r="AX39"/>
  <c r="CF39"/>
  <c r="CE39"/>
  <c r="CD39"/>
  <c r="BX39"/>
  <c r="BM39"/>
  <c r="BI39"/>
  <c r="BE39"/>
  <c r="BD39"/>
  <c r="BB39"/>
  <c r="AY39"/>
  <c r="AM39"/>
  <c r="AA39"/>
  <c r="W39"/>
  <c r="V39"/>
  <c r="U39"/>
  <c r="S39"/>
  <c r="O39"/>
  <c r="M39"/>
  <c r="G39"/>
  <c r="CD38"/>
  <c r="CD28" s="1"/>
  <c r="CC38"/>
  <c r="CA38"/>
  <c r="BI38"/>
  <c r="BI28" s="1"/>
  <c r="BM37"/>
  <c r="BM28"/>
  <c r="BH37"/>
  <c r="AM37"/>
  <c r="AM28" s="1"/>
  <c r="AM331" s="1"/>
  <c r="AA37"/>
  <c r="AA28" s="1"/>
  <c r="M37"/>
  <c r="BH36"/>
  <c r="BH35"/>
  <c r="BH28"/>
  <c r="BZ34"/>
  <c r="CC34"/>
  <c r="BG34"/>
  <c r="BZ33"/>
  <c r="CA33" s="1"/>
  <c r="BG33"/>
  <c r="BG28"/>
  <c r="BF32"/>
  <c r="BF28"/>
  <c r="DA42"/>
  <c r="BE31"/>
  <c r="BE28" s="1"/>
  <c r="AX31"/>
  <c r="DA41"/>
  <c r="BZ30"/>
  <c r="CC30" s="1"/>
  <c r="T30"/>
  <c r="T28" s="1"/>
  <c r="R30"/>
  <c r="R28" s="1"/>
  <c r="DA40"/>
  <c r="DA39" s="1"/>
  <c r="BZ29"/>
  <c r="BA29"/>
  <c r="AW29"/>
  <c r="AW28" s="1"/>
  <c r="AV29"/>
  <c r="AV28" s="1"/>
  <c r="AK29"/>
  <c r="AJ29"/>
  <c r="AJ28"/>
  <c r="N29"/>
  <c r="Y29"/>
  <c r="Y28" s="1"/>
  <c r="DA28"/>
  <c r="CF28"/>
  <c r="CE28"/>
  <c r="BX28"/>
  <c r="BX333"/>
  <c r="BD28"/>
  <c r="BB28"/>
  <c r="AY28"/>
  <c r="AY336" s="1"/>
  <c r="AY338" s="1"/>
  <c r="AU28"/>
  <c r="AT28"/>
  <c r="AS28"/>
  <c r="AR28"/>
  <c r="AQ28"/>
  <c r="AP28"/>
  <c r="AO28"/>
  <c r="AN28"/>
  <c r="AL28"/>
  <c r="AK28"/>
  <c r="AI28"/>
  <c r="AH28"/>
  <c r="AG28"/>
  <c r="AF28"/>
  <c r="AE28"/>
  <c r="AD28"/>
  <c r="AC28"/>
  <c r="AB28"/>
  <c r="Z28"/>
  <c r="W28"/>
  <c r="V28"/>
  <c r="U28"/>
  <c r="S28"/>
  <c r="S331" s="1"/>
  <c r="Q28"/>
  <c r="P28"/>
  <c r="O28"/>
  <c r="O331" s="1"/>
  <c r="K28"/>
  <c r="J28"/>
  <c r="I28"/>
  <c r="H28"/>
  <c r="BZ27"/>
  <c r="CC27" s="1"/>
  <c r="BY27"/>
  <c r="BG27"/>
  <c r="AX27"/>
  <c r="V27"/>
  <c r="V20" s="1"/>
  <c r="BF26"/>
  <c r="BF20" s="1"/>
  <c r="AX26"/>
  <c r="CC25"/>
  <c r="BK25"/>
  <c r="BJ25"/>
  <c r="BE25"/>
  <c r="BE20" s="1"/>
  <c r="AX25"/>
  <c r="AW25"/>
  <c r="AV25"/>
  <c r="AK25"/>
  <c r="AJ25"/>
  <c r="Y25"/>
  <c r="X25"/>
  <c r="Q25"/>
  <c r="L25"/>
  <c r="BY25"/>
  <c r="CC24"/>
  <c r="BC24"/>
  <c r="AX24"/>
  <c r="BB24" s="1"/>
  <c r="BB20" s="1"/>
  <c r="T24"/>
  <c r="T20"/>
  <c r="S24"/>
  <c r="R24"/>
  <c r="R20" s="1"/>
  <c r="L24"/>
  <c r="BY24"/>
  <c r="CB24" s="1"/>
  <c r="BA23"/>
  <c r="BJ23" s="1"/>
  <c r="AX23"/>
  <c r="AW23"/>
  <c r="AV23"/>
  <c r="AK23"/>
  <c r="AJ23"/>
  <c r="O23"/>
  <c r="BA22"/>
  <c r="BJ22" s="1"/>
  <c r="AX22"/>
  <c r="AX21" s="1"/>
  <c r="AX20" s="1"/>
  <c r="AW22"/>
  <c r="AV22"/>
  <c r="AK22"/>
  <c r="AJ22"/>
  <c r="O22"/>
  <c r="Y22"/>
  <c r="BZ21"/>
  <c r="BY21"/>
  <c r="AZ21"/>
  <c r="AZ20" s="1"/>
  <c r="BA21"/>
  <c r="AN21"/>
  <c r="AV21" s="1"/>
  <c r="AV20" s="1"/>
  <c r="AL21"/>
  <c r="AL20"/>
  <c r="AB21"/>
  <c r="AK21" s="1"/>
  <c r="Z21"/>
  <c r="Z20"/>
  <c r="N21"/>
  <c r="N20"/>
  <c r="M21"/>
  <c r="M20"/>
  <c r="L21"/>
  <c r="L20" s="1"/>
  <c r="DA20"/>
  <c r="CE20"/>
  <c r="CD20"/>
  <c r="BX20"/>
  <c r="BM20"/>
  <c r="BG20"/>
  <c r="BD20"/>
  <c r="BC20"/>
  <c r="AY20"/>
  <c r="AT20"/>
  <c r="AS20"/>
  <c r="AR20"/>
  <c r="AQ20"/>
  <c r="AP20"/>
  <c r="AO20"/>
  <c r="AM20"/>
  <c r="AH20"/>
  <c r="AG20"/>
  <c r="AF20"/>
  <c r="AE20"/>
  <c r="AD20"/>
  <c r="AC20"/>
  <c r="AA20"/>
  <c r="Q20"/>
  <c r="K20"/>
  <c r="J20"/>
  <c r="I20"/>
  <c r="H20"/>
  <c r="G20"/>
  <c r="BJ325"/>
  <c r="Y306"/>
  <c r="AK306"/>
  <c r="BI322"/>
  <c r="Y296"/>
  <c r="AV232"/>
  <c r="X23"/>
  <c r="CC136"/>
  <c r="BK22"/>
  <c r="CA34"/>
  <c r="L57"/>
  <c r="Y67"/>
  <c r="Y137"/>
  <c r="BY137"/>
  <c r="AV139"/>
  <c r="BJ139"/>
  <c r="AV169"/>
  <c r="BJ169"/>
  <c r="AK172"/>
  <c r="BJ172"/>
  <c r="Y181"/>
  <c r="Y232"/>
  <c r="AK232"/>
  <c r="AJ235"/>
  <c r="AV235"/>
  <c r="BJ235"/>
  <c r="X255"/>
  <c r="CC270"/>
  <c r="X296"/>
  <c r="X306"/>
  <c r="AJ306"/>
  <c r="BK306"/>
  <c r="CC333"/>
  <c r="Y222"/>
  <c r="L29"/>
  <c r="L30"/>
  <c r="AX30"/>
  <c r="AX28" s="1"/>
  <c r="X212"/>
  <c r="X211"/>
  <c r="DB28"/>
  <c r="BJ30"/>
  <c r="BC28"/>
  <c r="BK30"/>
  <c r="G28"/>
  <c r="DB39"/>
  <c r="AC228"/>
  <c r="CD143"/>
  <c r="CD173"/>
  <c r="X88"/>
  <c r="CA55"/>
  <c r="K87"/>
  <c r="T87"/>
  <c r="AZ167"/>
  <c r="CD137"/>
  <c r="AV174"/>
  <c r="CB334"/>
  <c r="AJ172"/>
  <c r="W263"/>
  <c r="W330" s="1"/>
  <c r="W331"/>
  <c r="AI263"/>
  <c r="AI330"/>
  <c r="AI331" s="1"/>
  <c r="DB98"/>
  <c r="DB91" s="1"/>
  <c r="BG39"/>
  <c r="M135"/>
  <c r="BZ135" s="1"/>
  <c r="AX56"/>
  <c r="L56"/>
  <c r="L52"/>
  <c r="G52"/>
  <c r="AX52" s="1"/>
  <c r="G55"/>
  <c r="BK52"/>
  <c r="CC54"/>
  <c r="Y142"/>
  <c r="T156"/>
  <c r="T146"/>
  <c r="CC171"/>
  <c r="CB171"/>
  <c r="AV172"/>
  <c r="AW172"/>
  <c r="X173"/>
  <c r="Y173"/>
  <c r="Y178"/>
  <c r="Y207"/>
  <c r="Y136"/>
  <c r="CA49"/>
  <c r="M28"/>
  <c r="CA41"/>
  <c r="M50"/>
  <c r="X86"/>
  <c r="Y89"/>
  <c r="X89"/>
  <c r="CA333"/>
  <c r="AP166"/>
  <c r="AP330" s="1"/>
  <c r="CA54"/>
  <c r="BK57"/>
  <c r="AW178"/>
  <c r="BF135"/>
  <c r="BZ169"/>
  <c r="CA169"/>
  <c r="BC168"/>
  <c r="BC167" s="1"/>
  <c r="BG178"/>
  <c r="AA296"/>
  <c r="BI308"/>
  <c r="DB168"/>
  <c r="DB167" s="1"/>
  <c r="AN20"/>
  <c r="X22"/>
  <c r="BY39"/>
  <c r="Y50"/>
  <c r="AC50"/>
  <c r="AV136"/>
  <c r="AO135"/>
  <c r="AO166"/>
  <c r="BK136"/>
  <c r="CB140"/>
  <c r="AX169"/>
  <c r="Y170"/>
  <c r="N172"/>
  <c r="X172" s="1"/>
  <c r="N169"/>
  <c r="CC173"/>
  <c r="CA173"/>
  <c r="Y202"/>
  <c r="X202"/>
  <c r="M228"/>
  <c r="BK249"/>
  <c r="AW255"/>
  <c r="AO249"/>
  <c r="AV255"/>
  <c r="BK178"/>
  <c r="X199"/>
  <c r="X170"/>
  <c r="BJ249"/>
  <c r="AW141"/>
  <c r="AK136"/>
  <c r="AJ21"/>
  <c r="AJ20" s="1"/>
  <c r="AB20"/>
  <c r="AK20" s="1"/>
  <c r="CC21"/>
  <c r="BZ20"/>
  <c r="CA21"/>
  <c r="U24"/>
  <c r="U20"/>
  <c r="S20"/>
  <c r="S338"/>
  <c r="CA27"/>
  <c r="X29"/>
  <c r="X28"/>
  <c r="BK40"/>
  <c r="BC39"/>
  <c r="X52"/>
  <c r="BK55"/>
  <c r="AZ135"/>
  <c r="CC265"/>
  <c r="BZ264"/>
  <c r="CC264"/>
  <c r="CC267"/>
  <c r="BZ266"/>
  <c r="CF267"/>
  <c r="CF266" s="1"/>
  <c r="CF263"/>
  <c r="CF330" s="1"/>
  <c r="CF332" s="1"/>
  <c r="CF335" s="1"/>
  <c r="CF340" s="1"/>
  <c r="CC292"/>
  <c r="BZ291"/>
  <c r="CC291"/>
  <c r="AJ136"/>
  <c r="BM135"/>
  <c r="AC167"/>
  <c r="L172"/>
  <c r="L169"/>
  <c r="L167"/>
  <c r="T172"/>
  <c r="T169"/>
  <c r="T167" s="1"/>
  <c r="BY235"/>
  <c r="CA235" s="1"/>
  <c r="BK235"/>
  <c r="AW57"/>
  <c r="BZ71"/>
  <c r="CC71"/>
  <c r="BK169"/>
  <c r="AW235"/>
  <c r="BZ249"/>
  <c r="AC296"/>
  <c r="AK296"/>
  <c r="AO296"/>
  <c r="Y235"/>
  <c r="BB234"/>
  <c r="BI299"/>
  <c r="BI317"/>
  <c r="BY53"/>
  <c r="CA136"/>
  <c r="CA138"/>
  <c r="AK169"/>
  <c r="CB173"/>
  <c r="CA24"/>
  <c r="AW249"/>
  <c r="Y172"/>
  <c r="AC166"/>
  <c r="AC330" s="1"/>
  <c r="BZ293"/>
  <c r="CC293" s="1"/>
  <c r="CC89"/>
  <c r="CC74"/>
  <c r="CB55"/>
  <c r="F56"/>
  <c r="BY56"/>
  <c r="BJ146"/>
  <c r="CA142"/>
  <c r="Y141"/>
  <c r="D168"/>
  <c r="CA334"/>
  <c r="DC167"/>
  <c r="D338"/>
  <c r="DC333"/>
  <c r="CB249"/>
  <c r="CC20"/>
  <c r="BY29"/>
  <c r="BY336" s="1"/>
  <c r="CB137"/>
  <c r="CA137"/>
  <c r="BK29"/>
  <c r="BK28" s="1"/>
  <c r="BJ29"/>
  <c r="BA28"/>
  <c r="CC33"/>
  <c r="CC51"/>
  <c r="X66"/>
  <c r="Y66"/>
  <c r="AV85"/>
  <c r="AT166"/>
  <c r="AT330" s="1"/>
  <c r="L139"/>
  <c r="L136"/>
  <c r="L135"/>
  <c r="T139"/>
  <c r="T136"/>
  <c r="T135" s="1"/>
  <c r="CC140"/>
  <c r="CD140"/>
  <c r="CD136"/>
  <c r="X220"/>
  <c r="Y220"/>
  <c r="BJ232"/>
  <c r="BK232"/>
  <c r="AB249"/>
  <c r="AB245"/>
  <c r="AJ255"/>
  <c r="CC169"/>
  <c r="AZ228"/>
  <c r="CB169"/>
  <c r="BZ255"/>
  <c r="AW55"/>
  <c r="BJ41"/>
  <c r="BA39"/>
  <c r="BJ39" s="1"/>
  <c r="N28"/>
  <c r="P25"/>
  <c r="P20"/>
  <c r="BK141"/>
  <c r="BZ37"/>
  <c r="CC37" s="1"/>
  <c r="X232"/>
  <c r="K146"/>
  <c r="K166"/>
  <c r="K330" s="1"/>
  <c r="G234"/>
  <c r="U330"/>
  <c r="U338" s="1"/>
  <c r="X87"/>
  <c r="Y87"/>
  <c r="O139"/>
  <c r="X137"/>
  <c r="CA140"/>
  <c r="AA135"/>
  <c r="AS135"/>
  <c r="G168"/>
  <c r="G167" s="1"/>
  <c r="AX167" s="1"/>
  <c r="AY168"/>
  <c r="AY167" s="1"/>
  <c r="Y255"/>
  <c r="O249"/>
  <c r="AK255"/>
  <c r="AC249"/>
  <c r="AJ249"/>
  <c r="BF266"/>
  <c r="BF263"/>
  <c r="BJ228"/>
  <c r="BJ28"/>
  <c r="CB29"/>
  <c r="AK249"/>
  <c r="AC245"/>
  <c r="AJ245" s="1"/>
  <c r="X249"/>
  <c r="Y249"/>
  <c r="O245"/>
  <c r="X245"/>
  <c r="CA37"/>
  <c r="CA255"/>
  <c r="CB255"/>
  <c r="CC255"/>
  <c r="Y245"/>
  <c r="DD167"/>
  <c r="F168"/>
  <c r="BG168"/>
  <c r="BG167" s="1"/>
  <c r="BJ91"/>
  <c r="CC55"/>
  <c r="DD338"/>
  <c r="CB245"/>
  <c r="D167"/>
  <c r="D330" s="1"/>
  <c r="AK178"/>
  <c r="AJ141"/>
  <c r="DE91"/>
  <c r="BE166"/>
  <c r="DE50"/>
  <c r="DE166" s="1"/>
  <c r="BD166"/>
  <c r="CC85"/>
  <c r="D50"/>
  <c r="D166" s="1"/>
  <c r="CB71"/>
  <c r="DC166"/>
  <c r="DC330" s="1"/>
  <c r="CC68"/>
  <c r="CA68"/>
  <c r="BK135"/>
  <c r="X178"/>
  <c r="AV178"/>
  <c r="X228"/>
  <c r="Y228"/>
  <c r="CC141" i="9"/>
  <c r="CA141"/>
  <c r="CB141"/>
  <c r="CB24"/>
  <c r="BY20"/>
  <c r="CA24"/>
  <c r="CA25"/>
  <c r="CB25"/>
  <c r="DA39"/>
  <c r="DD333"/>
  <c r="CC55"/>
  <c r="BK21"/>
  <c r="CB21"/>
  <c r="Y29"/>
  <c r="Y28"/>
  <c r="BK30"/>
  <c r="CC34"/>
  <c r="CA40"/>
  <c r="BK41"/>
  <c r="CB41"/>
  <c r="CC49"/>
  <c r="X50"/>
  <c r="AW52"/>
  <c r="T55"/>
  <c r="X55"/>
  <c r="BK55"/>
  <c r="F56"/>
  <c r="CD56"/>
  <c r="CD52" s="1"/>
  <c r="CD50" s="1"/>
  <c r="Y67"/>
  <c r="AX74"/>
  <c r="L74"/>
  <c r="L71"/>
  <c r="AX93"/>
  <c r="G91"/>
  <c r="AX91" s="1"/>
  <c r="AJ136"/>
  <c r="T139"/>
  <c r="T136"/>
  <c r="CD143"/>
  <c r="O166"/>
  <c r="X166"/>
  <c r="X174"/>
  <c r="BJ178"/>
  <c r="BA168"/>
  <c r="BJ232"/>
  <c r="BA20"/>
  <c r="BZ20"/>
  <c r="CA20" s="1"/>
  <c r="O21"/>
  <c r="CA21"/>
  <c r="X22"/>
  <c r="BJ22"/>
  <c r="P25"/>
  <c r="P20"/>
  <c r="L28"/>
  <c r="N28"/>
  <c r="BA28"/>
  <c r="BJ28" s="1"/>
  <c r="BC28"/>
  <c r="BJ29"/>
  <c r="CC29"/>
  <c r="CC30"/>
  <c r="BC39"/>
  <c r="CA41"/>
  <c r="CB53"/>
  <c r="AK71"/>
  <c r="AJ85"/>
  <c r="BK85"/>
  <c r="BD91"/>
  <c r="E135"/>
  <c r="AX136"/>
  <c r="G135"/>
  <c r="AX135" s="1"/>
  <c r="BK136"/>
  <c r="AW139"/>
  <c r="CC140"/>
  <c r="CA140"/>
  <c r="CD140"/>
  <c r="AJ141"/>
  <c r="BK141"/>
  <c r="BJ146"/>
  <c r="AY146"/>
  <c r="AY135" s="1"/>
  <c r="K165"/>
  <c r="I146"/>
  <c r="I135" s="1"/>
  <c r="I166" s="1"/>
  <c r="I330" s="1"/>
  <c r="F168"/>
  <c r="BZ167"/>
  <c r="AX169"/>
  <c r="L172"/>
  <c r="L169"/>
  <c r="L167" s="1"/>
  <c r="CB171"/>
  <c r="X173"/>
  <c r="N169"/>
  <c r="X169" s="1"/>
  <c r="AW174"/>
  <c r="BK174"/>
  <c r="CC174"/>
  <c r="X178"/>
  <c r="AW178"/>
  <c r="BK178"/>
  <c r="Y202"/>
  <c r="Y222"/>
  <c r="AC228"/>
  <c r="AK228" s="1"/>
  <c r="AK232"/>
  <c r="BK232"/>
  <c r="BY235"/>
  <c r="F234"/>
  <c r="F167" s="1"/>
  <c r="AK235"/>
  <c r="BK235"/>
  <c r="AJ255"/>
  <c r="AC249"/>
  <c r="AC245" s="1"/>
  <c r="AK255"/>
  <c r="CC265"/>
  <c r="BZ264"/>
  <c r="CC267"/>
  <c r="CF267"/>
  <c r="CF266" s="1"/>
  <c r="CF263" s="1"/>
  <c r="CF330" s="1"/>
  <c r="AV306"/>
  <c r="AO296"/>
  <c r="AW306"/>
  <c r="DC333"/>
  <c r="L139"/>
  <c r="L136"/>
  <c r="L135" s="1"/>
  <c r="CC143"/>
  <c r="CA143"/>
  <c r="Y169"/>
  <c r="CA174"/>
  <c r="CB137"/>
  <c r="CB142"/>
  <c r="X170"/>
  <c r="CB170"/>
  <c r="CB173"/>
  <c r="BZ249"/>
  <c r="CC249" s="1"/>
  <c r="BJ249"/>
  <c r="AV255"/>
  <c r="AO249"/>
  <c r="AO245" s="1"/>
  <c r="BM263"/>
  <c r="CC275"/>
  <c r="BZ274"/>
  <c r="CC274" s="1"/>
  <c r="CC290"/>
  <c r="BZ289"/>
  <c r="CC289" s="1"/>
  <c r="CC292"/>
  <c r="BZ291"/>
  <c r="CC291" s="1"/>
  <c r="CC294"/>
  <c r="BZ293"/>
  <c r="CC293" s="1"/>
  <c r="AA296"/>
  <c r="AJ306"/>
  <c r="AC296"/>
  <c r="AK296" s="1"/>
  <c r="CC333"/>
  <c r="CA333"/>
  <c r="CB333"/>
  <c r="CC334"/>
  <c r="CA334"/>
  <c r="CB334"/>
  <c r="CC136"/>
  <c r="CC264"/>
  <c r="K146"/>
  <c r="K135" s="1"/>
  <c r="T165"/>
  <c r="T146" s="1"/>
  <c r="T135" s="1"/>
  <c r="X21"/>
  <c r="X20" s="1"/>
  <c r="O20"/>
  <c r="Y20" s="1"/>
  <c r="Y21"/>
  <c r="BJ20"/>
  <c r="BK20"/>
  <c r="AJ228"/>
  <c r="CC20"/>
  <c r="O336"/>
  <c r="O338" s="1"/>
  <c r="BJ135"/>
  <c r="AW136"/>
  <c r="BY136"/>
  <c r="CB136" s="1"/>
  <c r="X137"/>
  <c r="CD137"/>
  <c r="CD136" s="1"/>
  <c r="O139"/>
  <c r="AG135"/>
  <c r="AG166" s="1"/>
  <c r="BC135"/>
  <c r="DE91"/>
  <c r="Y139"/>
  <c r="AV139"/>
  <c r="BK139"/>
  <c r="Y207"/>
  <c r="Y232"/>
  <c r="BJ235"/>
  <c r="CC270"/>
  <c r="Y306"/>
  <c r="BA306"/>
  <c r="Y181"/>
  <c r="Y199"/>
  <c r="X212"/>
  <c r="BJ255"/>
  <c r="AF166"/>
  <c r="AW71"/>
  <c r="AV71"/>
  <c r="AK169"/>
  <c r="AJ169"/>
  <c r="AC167"/>
  <c r="AJ167" s="1"/>
  <c r="BZ232"/>
  <c r="CB232" s="1"/>
  <c r="M228"/>
  <c r="AW232"/>
  <c r="AV232"/>
  <c r="AW235"/>
  <c r="AV235"/>
  <c r="AJ249"/>
  <c r="X306"/>
  <c r="M135"/>
  <c r="BZ169"/>
  <c r="BZ50"/>
  <c r="CC50" s="1"/>
  <c r="AK52"/>
  <c r="CA55"/>
  <c r="BZ91"/>
  <c r="CC91" s="1"/>
  <c r="AH166"/>
  <c r="AH330" s="1"/>
  <c r="AH331" s="1"/>
  <c r="AK139"/>
  <c r="AJ139"/>
  <c r="Y141"/>
  <c r="X141"/>
  <c r="BD135"/>
  <c r="AN167"/>
  <c r="AV169"/>
  <c r="AW169"/>
  <c r="BK169"/>
  <c r="BJ169"/>
  <c r="AZ167"/>
  <c r="AK172"/>
  <c r="AJ172"/>
  <c r="AV172"/>
  <c r="AW172"/>
  <c r="AO228"/>
  <c r="AW228" s="1"/>
  <c r="AW57"/>
  <c r="AJ71"/>
  <c r="Y136"/>
  <c r="AD135"/>
  <c r="AD166" s="1"/>
  <c r="AD330" s="1"/>
  <c r="X139"/>
  <c r="AW141"/>
  <c r="BD168"/>
  <c r="X235"/>
  <c r="Y235"/>
  <c r="BE234"/>
  <c r="BE167" s="1"/>
  <c r="AZ296"/>
  <c r="AK57"/>
  <c r="BJ68"/>
  <c r="BZ71"/>
  <c r="BK71"/>
  <c r="BJ71"/>
  <c r="AW85"/>
  <c r="AV85"/>
  <c r="T86"/>
  <c r="X66"/>
  <c r="CC85"/>
  <c r="X86"/>
  <c r="CC87"/>
  <c r="CD87"/>
  <c r="Y88"/>
  <c r="X89"/>
  <c r="BA296"/>
  <c r="BJ296" s="1"/>
  <c r="AV228"/>
  <c r="AK167"/>
  <c r="CA169"/>
  <c r="CC169"/>
  <c r="CB169"/>
  <c r="CC71"/>
  <c r="Y211"/>
  <c r="BD50"/>
  <c r="BD166" s="1"/>
  <c r="CD89"/>
  <c r="CD85"/>
  <c r="DF71"/>
  <c r="DG83"/>
  <c r="DG173"/>
  <c r="DG169" s="1"/>
  <c r="DG57"/>
  <c r="CC39"/>
  <c r="DG28"/>
  <c r="DG333" s="1"/>
  <c r="DF28"/>
  <c r="BY28"/>
  <c r="CA29"/>
  <c r="BY336"/>
  <c r="CB29"/>
  <c r="BK40"/>
  <c r="DF333"/>
  <c r="CB336"/>
  <c r="DA50"/>
  <c r="DA166" s="1"/>
  <c r="D91"/>
  <c r="D50" s="1"/>
  <c r="D166" s="1"/>
  <c r="D330" s="1"/>
  <c r="E166"/>
  <c r="DF98"/>
  <c r="T87"/>
  <c r="BX332"/>
  <c r="BX335" s="1"/>
  <c r="BY91"/>
  <c r="CA91" s="1"/>
  <c r="BG166"/>
  <c r="BY135"/>
  <c r="CE331"/>
  <c r="Y166"/>
  <c r="CA137"/>
  <c r="CA138"/>
  <c r="CB138"/>
  <c r="DF139"/>
  <c r="DG137"/>
  <c r="DG140"/>
  <c r="DG136" s="1"/>
  <c r="DG135" s="1"/>
  <c r="DG139"/>
  <c r="F167" i="8"/>
  <c r="BY167"/>
  <c r="AJ296"/>
  <c r="AB228"/>
  <c r="E167"/>
  <c r="BJ245"/>
  <c r="CC174"/>
  <c r="CA174"/>
  <c r="BJ141"/>
  <c r="E50"/>
  <c r="E166" s="1"/>
  <c r="E330" s="1"/>
  <c r="CC91"/>
  <c r="BA50"/>
  <c r="BK50"/>
  <c r="AJ85"/>
  <c r="CA71"/>
  <c r="CB249" i="9"/>
  <c r="Y249"/>
  <c r="AK249"/>
  <c r="AV249"/>
  <c r="BA167"/>
  <c r="BJ167" s="1"/>
  <c r="AY234"/>
  <c r="BD234"/>
  <c r="DG108"/>
  <c r="DF91"/>
  <c r="DF50" s="1"/>
  <c r="DF166" s="1"/>
  <c r="CC68"/>
  <c r="CA68"/>
  <c r="CB68"/>
  <c r="BH28"/>
  <c r="BH39"/>
  <c r="DG178"/>
  <c r="AK245" i="8"/>
  <c r="CB56"/>
  <c r="CE332"/>
  <c r="CE335" s="1"/>
  <c r="CE340" s="1"/>
  <c r="AG338"/>
  <c r="AG331"/>
  <c r="CF331"/>
  <c r="BX332"/>
  <c r="BX335" s="1"/>
  <c r="BX331"/>
  <c r="BX340" s="1"/>
  <c r="I166"/>
  <c r="I330" s="1"/>
  <c r="M166"/>
  <c r="BZ166" s="1"/>
  <c r="L85"/>
  <c r="AF166"/>
  <c r="AF330" s="1"/>
  <c r="AQ166"/>
  <c r="AQ330" s="1"/>
  <c r="F52"/>
  <c r="F50" s="1"/>
  <c r="Z166"/>
  <c r="Z330" s="1"/>
  <c r="Z336" s="1"/>
  <c r="AE166"/>
  <c r="AE330"/>
  <c r="AE338" s="1"/>
  <c r="BZ296"/>
  <c r="DE167"/>
  <c r="DE330" s="1"/>
  <c r="DD50"/>
  <c r="DD166"/>
  <c r="DD330" s="1"/>
  <c r="BZ144"/>
  <c r="CC144" s="1"/>
  <c r="BK245"/>
  <c r="F91"/>
  <c r="BY91"/>
  <c r="CA91" s="1"/>
  <c r="DC331"/>
  <c r="DC340" s="1"/>
  <c r="H331"/>
  <c r="H340" s="1"/>
  <c r="H332"/>
  <c r="H335" s="1"/>
  <c r="AT331"/>
  <c r="AT338"/>
  <c r="U331"/>
  <c r="AK141"/>
  <c r="CC143"/>
  <c r="CB143"/>
  <c r="BJ144"/>
  <c r="DB50"/>
  <c r="DB166" s="1"/>
  <c r="DB330" s="1"/>
  <c r="BJ71"/>
  <c r="BK71"/>
  <c r="Y74"/>
  <c r="AK85"/>
  <c r="BK85"/>
  <c r="BJ85"/>
  <c r="CD87"/>
  <c r="CD85" s="1"/>
  <c r="CC87"/>
  <c r="G91"/>
  <c r="AH338" i="9"/>
  <c r="BY56"/>
  <c r="CA56" s="1"/>
  <c r="F52"/>
  <c r="CB39"/>
  <c r="CA39"/>
  <c r="CC40"/>
  <c r="CB40"/>
  <c r="CB30"/>
  <c r="CA30"/>
  <c r="CA33"/>
  <c r="CC33"/>
  <c r="BC166"/>
  <c r="AX52"/>
  <c r="G50"/>
  <c r="G166" s="1"/>
  <c r="AX166" s="1"/>
  <c r="Y52"/>
  <c r="L56"/>
  <c r="L52" s="1"/>
  <c r="L50" s="1"/>
  <c r="AX56"/>
  <c r="BA50"/>
  <c r="BK50" s="1"/>
  <c r="AO50"/>
  <c r="CA53"/>
  <c r="CD53"/>
  <c r="AJ55"/>
  <c r="AV55"/>
  <c r="BJ57"/>
  <c r="CC74"/>
  <c r="W331"/>
  <c r="AI331"/>
  <c r="X220"/>
  <c r="BK167"/>
  <c r="CC235"/>
  <c r="CA235"/>
  <c r="CB235"/>
  <c r="DB168"/>
  <c r="DG236"/>
  <c r="CA255"/>
  <c r="AW249"/>
  <c r="AX235"/>
  <c r="G234"/>
  <c r="G167" s="1"/>
  <c r="BK249"/>
  <c r="X232"/>
  <c r="AK228" i="8"/>
  <c r="BA166"/>
  <c r="CB296"/>
  <c r="CC296"/>
  <c r="CA296"/>
  <c r="BY52"/>
  <c r="CA52" s="1"/>
  <c r="AE331"/>
  <c r="M330"/>
  <c r="G50"/>
  <c r="AX91"/>
  <c r="DC332"/>
  <c r="DC335" s="1"/>
  <c r="DC336" s="1"/>
  <c r="DC338" s="1"/>
  <c r="BJ50" i="9"/>
  <c r="BA166"/>
  <c r="AX50"/>
  <c r="BY52"/>
  <c r="F50"/>
  <c r="BY50" s="1"/>
  <c r="CD55"/>
  <c r="AO166"/>
  <c r="AO330" s="1"/>
  <c r="AV50"/>
  <c r="AW50"/>
  <c r="CB56"/>
  <c r="DG239"/>
  <c r="DG235" s="1"/>
  <c r="DG238"/>
  <c r="BK166" i="8"/>
  <c r="BJ166"/>
  <c r="CB52"/>
  <c r="M331"/>
  <c r="M335"/>
  <c r="M336" s="1"/>
  <c r="AX50"/>
  <c r="CB52" i="9"/>
  <c r="CA52"/>
  <c r="AW166"/>
  <c r="AV166"/>
  <c r="F166"/>
  <c r="BY166"/>
  <c r="DG85"/>
  <c r="DG72"/>
  <c r="DG74"/>
  <c r="DG73"/>
  <c r="CC167"/>
  <c r="E330"/>
  <c r="E331" s="1"/>
  <c r="AP168" i="10" l="1"/>
  <c r="AP332" s="1"/>
  <c r="DG169"/>
  <c r="DF169"/>
  <c r="BG169"/>
  <c r="X53"/>
  <c r="AH340"/>
  <c r="BI298"/>
  <c r="BI332" s="1"/>
  <c r="BI334" s="1"/>
  <c r="BI337" s="1"/>
  <c r="AD168"/>
  <c r="AD332" s="1"/>
  <c r="AR168"/>
  <c r="AR332" s="1"/>
  <c r="AN168"/>
  <c r="AN332" s="1"/>
  <c r="AG333"/>
  <c r="AG340"/>
  <c r="CA298"/>
  <c r="BA169"/>
  <c r="AQ333"/>
  <c r="AO168"/>
  <c r="CA142"/>
  <c r="AW60"/>
  <c r="BM168"/>
  <c r="BE169"/>
  <c r="BC169"/>
  <c r="DF92"/>
  <c r="BE60"/>
  <c r="BE53" s="1"/>
  <c r="BE168" s="1"/>
  <c r="AA60"/>
  <c r="AV60"/>
  <c r="AY60"/>
  <c r="AY53" s="1"/>
  <c r="AY168" s="1"/>
  <c r="AY332" s="1"/>
  <c r="AY333" s="1"/>
  <c r="AY342" s="1"/>
  <c r="Z168"/>
  <c r="Z332" s="1"/>
  <c r="Z338" s="1"/>
  <c r="Z60"/>
  <c r="BJ92"/>
  <c r="BA60"/>
  <c r="D60"/>
  <c r="D53" s="1"/>
  <c r="D168" s="1"/>
  <c r="D332" s="1"/>
  <c r="D333" s="1"/>
  <c r="D342" s="1"/>
  <c r="CB298"/>
  <c r="BG332"/>
  <c r="BG333" s="1"/>
  <c r="BG342" s="1"/>
  <c r="AS333"/>
  <c r="CC55"/>
  <c r="BM332"/>
  <c r="BM333" s="1"/>
  <c r="BF169"/>
  <c r="BF53"/>
  <c r="BF168" s="1"/>
  <c r="DB60"/>
  <c r="DB53" s="1"/>
  <c r="DB168" s="1"/>
  <c r="DB332" s="1"/>
  <c r="DB333" s="1"/>
  <c r="DB342" s="1"/>
  <c r="M60"/>
  <c r="BZ60" s="1"/>
  <c r="CC60" s="1"/>
  <c r="DA60"/>
  <c r="DA53" s="1"/>
  <c r="DA168" s="1"/>
  <c r="DA332" s="1"/>
  <c r="U60"/>
  <c r="BB60"/>
  <c r="BB53" s="1"/>
  <c r="BB168" s="1"/>
  <c r="BB332" s="1"/>
  <c r="AF168"/>
  <c r="AF332" s="1"/>
  <c r="AF60"/>
  <c r="AB168"/>
  <c r="AB332" s="1"/>
  <c r="AB60"/>
  <c r="AK60" s="1"/>
  <c r="DF60"/>
  <c r="DF53" s="1"/>
  <c r="DF168" s="1"/>
  <c r="DF332" s="1"/>
  <c r="F60"/>
  <c r="AE60"/>
  <c r="CF268"/>
  <c r="CF265" s="1"/>
  <c r="CF332" s="1"/>
  <c r="CF333" s="1"/>
  <c r="F169"/>
  <c r="BY169" s="1"/>
  <c r="CB169" s="1"/>
  <c r="CB180"/>
  <c r="Y174"/>
  <c r="CB59"/>
  <c r="DG92"/>
  <c r="CB55"/>
  <c r="E53"/>
  <c r="E168" s="1"/>
  <c r="E332" s="1"/>
  <c r="E333" s="1"/>
  <c r="E342" s="1"/>
  <c r="BD333"/>
  <c r="BD342" s="1"/>
  <c r="AE340"/>
  <c r="AE333"/>
  <c r="U333"/>
  <c r="U340"/>
  <c r="AA332"/>
  <c r="AA333" s="1"/>
  <c r="CB142"/>
  <c r="DE168"/>
  <c r="DE332" s="1"/>
  <c r="DE333" s="1"/>
  <c r="DE342" s="1"/>
  <c r="V333"/>
  <c r="AV169"/>
  <c r="BI333"/>
  <c r="BI342" s="1"/>
  <c r="CB23"/>
  <c r="Y24"/>
  <c r="O23"/>
  <c r="CB58"/>
  <c r="AM337"/>
  <c r="AM333"/>
  <c r="AZ334"/>
  <c r="AZ337" s="1"/>
  <c r="AZ333"/>
  <c r="AZ342" s="1"/>
  <c r="BG334"/>
  <c r="BG337" s="1"/>
  <c r="CC266"/>
  <c r="BZ265"/>
  <c r="CC265" s="1"/>
  <c r="AK251"/>
  <c r="AC247"/>
  <c r="AJ251"/>
  <c r="CB171"/>
  <c r="CC171"/>
  <c r="CA171"/>
  <c r="DG141"/>
  <c r="DG137" s="1"/>
  <c r="DG136" s="1"/>
  <c r="DG140"/>
  <c r="CD136"/>
  <c r="CD60" s="1"/>
  <c r="CB136"/>
  <c r="CC136"/>
  <c r="CA136"/>
  <c r="CD58"/>
  <c r="CD55"/>
  <c r="CD53" s="1"/>
  <c r="BC332"/>
  <c r="AC168"/>
  <c r="AJ53"/>
  <c r="AK53"/>
  <c r="AW168"/>
  <c r="AV168"/>
  <c r="AO332"/>
  <c r="M168"/>
  <c r="CC40"/>
  <c r="BZ31"/>
  <c r="CA40"/>
  <c r="K136"/>
  <c r="K168" s="1"/>
  <c r="K332" s="1"/>
  <c r="T167"/>
  <c r="CA55"/>
  <c r="CB42"/>
  <c r="CC42"/>
  <c r="CA42"/>
  <c r="AW298"/>
  <c r="AV298"/>
  <c r="AW251"/>
  <c r="AO247"/>
  <c r="AV251"/>
  <c r="AK298"/>
  <c r="AJ298"/>
  <c r="BJ298"/>
  <c r="BK298"/>
  <c r="CB247"/>
  <c r="CC247"/>
  <c r="CA247"/>
  <c r="CB237"/>
  <c r="CC237"/>
  <c r="CA237"/>
  <c r="CB230"/>
  <c r="CC230"/>
  <c r="CA230"/>
  <c r="BK169"/>
  <c r="BJ169"/>
  <c r="CC169"/>
  <c r="T136"/>
  <c r="T168" s="1"/>
  <c r="T332" s="1"/>
  <c r="K60"/>
  <c r="I333"/>
  <c r="I342" s="1"/>
  <c r="I341" s="1"/>
  <c r="CB137"/>
  <c r="CC137"/>
  <c r="CA137"/>
  <c r="G53"/>
  <c r="I60"/>
  <c r="L168"/>
  <c r="L332" s="1"/>
  <c r="L338" s="1"/>
  <c r="BE332"/>
  <c r="Y168"/>
  <c r="X168"/>
  <c r="BH333"/>
  <c r="BH342" s="1"/>
  <c r="AT333"/>
  <c r="DD333"/>
  <c r="DD342" s="1"/>
  <c r="BX342"/>
  <c r="H333"/>
  <c r="H342" s="1"/>
  <c r="H338" s="1"/>
  <c r="H340" s="1"/>
  <c r="CB338"/>
  <c r="BY340"/>
  <c r="CA338"/>
  <c r="CC228" i="9"/>
  <c r="CB228"/>
  <c r="CA228"/>
  <c r="BZ178"/>
  <c r="G166" i="8"/>
  <c r="DD331"/>
  <c r="DD340" s="1"/>
  <c r="DE331"/>
  <c r="DE340" s="1"/>
  <c r="AQ331"/>
  <c r="AQ338"/>
  <c r="I332"/>
  <c r="I335" s="1"/>
  <c r="I331"/>
  <c r="I340" s="1"/>
  <c r="BY338"/>
  <c r="CA336"/>
  <c r="CB336"/>
  <c r="CA135"/>
  <c r="CB135"/>
  <c r="CD135"/>
  <c r="CC135"/>
  <c r="AZ331"/>
  <c r="AZ340" s="1"/>
  <c r="AZ332"/>
  <c r="AZ335" s="1"/>
  <c r="BF332"/>
  <c r="BF335" s="1"/>
  <c r="BF331"/>
  <c r="BF340" s="1"/>
  <c r="BB330"/>
  <c r="CC57"/>
  <c r="CA57"/>
  <c r="CB57"/>
  <c r="DA332"/>
  <c r="DA335" s="1"/>
  <c r="DA336" s="1"/>
  <c r="DA331"/>
  <c r="DA340" s="1"/>
  <c r="CB141"/>
  <c r="CA141"/>
  <c r="CC141"/>
  <c r="V338" i="9"/>
  <c r="V331"/>
  <c r="AO335"/>
  <c r="AO336"/>
  <c r="AO338" s="1"/>
  <c r="CB50"/>
  <c r="CA50"/>
  <c r="DB331" i="8"/>
  <c r="DB340" s="1"/>
  <c r="DB332"/>
  <c r="DB335" s="1"/>
  <c r="DB336" s="1"/>
  <c r="H336"/>
  <c r="H338" s="1"/>
  <c r="BY50"/>
  <c r="F166"/>
  <c r="CC166"/>
  <c r="E331"/>
  <c r="E340" s="1"/>
  <c r="E332"/>
  <c r="D331"/>
  <c r="D340" s="1"/>
  <c r="AC335"/>
  <c r="AC336"/>
  <c r="AC338" s="1"/>
  <c r="AC331"/>
  <c r="AH331"/>
  <c r="BI331"/>
  <c r="BI340" s="1"/>
  <c r="V331"/>
  <c r="V338"/>
  <c r="AY331"/>
  <c r="AY340" s="1"/>
  <c r="AY332"/>
  <c r="AY335" s="1"/>
  <c r="BG332"/>
  <c r="BG335" s="1"/>
  <c r="BG331"/>
  <c r="BG340" s="1"/>
  <c r="AM336"/>
  <c r="AM340"/>
  <c r="BH332"/>
  <c r="BH335" s="1"/>
  <c r="BH331"/>
  <c r="BH340" s="1"/>
  <c r="X139"/>
  <c r="Y139"/>
  <c r="AK167"/>
  <c r="AJ167"/>
  <c r="CC266"/>
  <c r="BZ263"/>
  <c r="CC263" s="1"/>
  <c r="AO245"/>
  <c r="AV249"/>
  <c r="Y169"/>
  <c r="X169"/>
  <c r="Y23"/>
  <c r="O21"/>
  <c r="CC29"/>
  <c r="CA29"/>
  <c r="CC40"/>
  <c r="CA40"/>
  <c r="CB40"/>
  <c r="BZ39"/>
  <c r="AW50"/>
  <c r="AV50"/>
  <c r="BY51"/>
  <c r="L50"/>
  <c r="L166" s="1"/>
  <c r="L330" s="1"/>
  <c r="L336" s="1"/>
  <c r="CC53"/>
  <c r="CA53"/>
  <c r="X55"/>
  <c r="Y55"/>
  <c r="K86"/>
  <c r="I85"/>
  <c r="CD170"/>
  <c r="CD169" s="1"/>
  <c r="CD167" s="1"/>
  <c r="CB170"/>
  <c r="X174"/>
  <c r="Y174"/>
  <c r="BJ174"/>
  <c r="BK174"/>
  <c r="AN228"/>
  <c r="AW232"/>
  <c r="BM228"/>
  <c r="BZ228" s="1"/>
  <c r="BZ232"/>
  <c r="AK21" i="9"/>
  <c r="AJ21"/>
  <c r="AJ20" s="1"/>
  <c r="AB20"/>
  <c r="AK20" s="1"/>
  <c r="U24"/>
  <c r="U20" s="1"/>
  <c r="S20"/>
  <c r="S338" s="1"/>
  <c r="DB31"/>
  <c r="DB20"/>
  <c r="CC27"/>
  <c r="CA27"/>
  <c r="BJ52"/>
  <c r="BK52"/>
  <c r="M340" i="8"/>
  <c r="BJ50"/>
  <c r="BK296" i="9"/>
  <c r="CB255"/>
  <c r="BY28" i="8"/>
  <c r="AO330"/>
  <c r="CA56"/>
  <c r="BD167" i="9"/>
  <c r="K85"/>
  <c r="CA51"/>
  <c r="BY338"/>
  <c r="CA336"/>
  <c r="CB85"/>
  <c r="T85"/>
  <c r="AV167"/>
  <c r="AW167"/>
  <c r="AC50"/>
  <c r="BZ135"/>
  <c r="M166"/>
  <c r="BZ166" s="1"/>
  <c r="CB166" s="1"/>
  <c r="CA136"/>
  <c r="BK306"/>
  <c r="BJ306"/>
  <c r="AZ166"/>
  <c r="CB20"/>
  <c r="K166"/>
  <c r="K330" s="1"/>
  <c r="I85"/>
  <c r="BZ28" i="8"/>
  <c r="CC56"/>
  <c r="CB53"/>
  <c r="CC249"/>
  <c r="CA249"/>
  <c r="BK23"/>
  <c r="CA170"/>
  <c r="CC170"/>
  <c r="O166"/>
  <c r="AW21"/>
  <c r="CD53"/>
  <c r="AK174"/>
  <c r="BZ274"/>
  <c r="CC274" s="1"/>
  <c r="AJ228"/>
  <c r="BY30"/>
  <c r="CB30" s="1"/>
  <c r="L28"/>
  <c r="AW20"/>
  <c r="BK21"/>
  <c r="BJ21"/>
  <c r="BA20"/>
  <c r="CB21"/>
  <c r="BY20"/>
  <c r="CB25"/>
  <c r="CA25"/>
  <c r="CB41"/>
  <c r="CC41"/>
  <c r="T50"/>
  <c r="T166" s="1"/>
  <c r="T330" s="1"/>
  <c r="BZ50"/>
  <c r="CB51"/>
  <c r="CA51"/>
  <c r="AA166"/>
  <c r="AA330" s="1"/>
  <c r="AB50"/>
  <c r="AK52"/>
  <c r="AJ52"/>
  <c r="AD166"/>
  <c r="AD330" s="1"/>
  <c r="AW52"/>
  <c r="AV52"/>
  <c r="AS166"/>
  <c r="AS330" s="1"/>
  <c r="AK57"/>
  <c r="AJ57"/>
  <c r="AK71"/>
  <c r="AJ71"/>
  <c r="AV71"/>
  <c r="AW71"/>
  <c r="CB85"/>
  <c r="CA85"/>
  <c r="G135"/>
  <c r="AX135" s="1"/>
  <c r="AX136"/>
  <c r="AN135"/>
  <c r="AN166" s="1"/>
  <c r="AW136"/>
  <c r="BJ135"/>
  <c r="CD142"/>
  <c r="CD141" s="1"/>
  <c r="CC142"/>
  <c r="AV167"/>
  <c r="AW167"/>
  <c r="BD168"/>
  <c r="BD167" s="1"/>
  <c r="BD330" s="1"/>
  <c r="BB168"/>
  <c r="BB167" s="1"/>
  <c r="BJ178"/>
  <c r="BA168"/>
  <c r="BE167"/>
  <c r="BE330" s="1"/>
  <c r="BZ178"/>
  <c r="BM167"/>
  <c r="BZ167" s="1"/>
  <c r="CB235"/>
  <c r="CC235"/>
  <c r="CC245"/>
  <c r="CA245"/>
  <c r="BA234"/>
  <c r="BJ255"/>
  <c r="BI296"/>
  <c r="BI330" s="1"/>
  <c r="BI332" s="1"/>
  <c r="BI335" s="1"/>
  <c r="AN296"/>
  <c r="AV296" s="1"/>
  <c r="AV306"/>
  <c r="AW306"/>
  <c r="BA296"/>
  <c r="BJ306"/>
  <c r="CD333"/>
  <c r="CB333"/>
  <c r="DG168" i="9"/>
  <c r="BG330"/>
  <c r="BG331" s="1"/>
  <c r="BG340" s="1"/>
  <c r="T166"/>
  <c r="T330" s="1"/>
  <c r="L166"/>
  <c r="J166" i="8"/>
  <c r="J330" s="1"/>
  <c r="CB136"/>
  <c r="BC135"/>
  <c r="BC166" s="1"/>
  <c r="BC330" s="1"/>
  <c r="AX20" i="9"/>
  <c r="BZ37"/>
  <c r="M28"/>
  <c r="AL336"/>
  <c r="AV21"/>
  <c r="AV20" s="1"/>
  <c r="AW21"/>
  <c r="BE31"/>
  <c r="BE28" s="1"/>
  <c r="AY28"/>
  <c r="AY336" s="1"/>
  <c r="AY338" s="1"/>
  <c r="CC52"/>
  <c r="BF166"/>
  <c r="DB166"/>
  <c r="L55"/>
  <c r="BK57"/>
  <c r="L89"/>
  <c r="L85" s="1"/>
  <c r="AX89"/>
  <c r="J166"/>
  <c r="Z166"/>
  <c r="AB166"/>
  <c r="AV136"/>
  <c r="AT166"/>
  <c r="AT330" s="1"/>
  <c r="AK141"/>
  <c r="BJ141"/>
  <c r="DC167"/>
  <c r="BB167"/>
  <c r="BB330" s="1"/>
  <c r="CA173"/>
  <c r="CD173"/>
  <c r="AY168"/>
  <c r="AY167" s="1"/>
  <c r="AR330"/>
  <c r="BI322"/>
  <c r="X74"/>
  <c r="U166"/>
  <c r="AA166"/>
  <c r="AA330" s="1"/>
  <c r="AP166"/>
  <c r="DA167"/>
  <c r="DA330" s="1"/>
  <c r="DF167"/>
  <c r="DF330" s="1"/>
  <c r="DF331" s="1"/>
  <c r="DF332" s="1"/>
  <c r="DF335" s="1"/>
  <c r="DF336" s="1"/>
  <c r="DF338" s="1"/>
  <c r="AK174"/>
  <c r="BC234"/>
  <c r="AU331"/>
  <c r="AE330"/>
  <c r="AS330"/>
  <c r="AS338" s="1"/>
  <c r="DE71"/>
  <c r="DE50" s="1"/>
  <c r="DE166" s="1"/>
  <c r="DG71"/>
  <c r="DG50" s="1"/>
  <c r="DG166" s="1"/>
  <c r="M296"/>
  <c r="AA263"/>
  <c r="O296"/>
  <c r="BA330"/>
  <c r="CA249"/>
  <c r="F330"/>
  <c r="F331" s="1"/>
  <c r="BY331" s="1"/>
  <c r="BY167"/>
  <c r="CB245"/>
  <c r="CA245"/>
  <c r="CC245"/>
  <c r="AK245"/>
  <c r="AJ245"/>
  <c r="Y296"/>
  <c r="X296"/>
  <c r="AF330"/>
  <c r="J330"/>
  <c r="Z330"/>
  <c r="Z336" s="1"/>
  <c r="DB234"/>
  <c r="DB167" s="1"/>
  <c r="DB330" s="1"/>
  <c r="O245"/>
  <c r="AM263"/>
  <c r="BF266"/>
  <c r="BZ266"/>
  <c r="BF263"/>
  <c r="BI299"/>
  <c r="AM296"/>
  <c r="BI317"/>
  <c r="DG234"/>
  <c r="DG167" s="1"/>
  <c r="H330"/>
  <c r="BC167"/>
  <c r="BC330" s="1"/>
  <c r="BC332" s="1"/>
  <c r="BC335" s="1"/>
  <c r="BJ245"/>
  <c r="AE338"/>
  <c r="AE331"/>
  <c r="AS331"/>
  <c r="AV296"/>
  <c r="AW296"/>
  <c r="AN330"/>
  <c r="AW330" s="1"/>
  <c r="BZ296"/>
  <c r="CC296" s="1"/>
  <c r="BM330"/>
  <c r="AK306"/>
  <c r="BI308"/>
  <c r="BI296" s="1"/>
  <c r="BI330" s="1"/>
  <c r="CA232"/>
  <c r="X228"/>
  <c r="BH266"/>
  <c r="BH274"/>
  <c r="AX167"/>
  <c r="G330"/>
  <c r="G331" s="1"/>
  <c r="BK245"/>
  <c r="DE167"/>
  <c r="BK228"/>
  <c r="BJ228"/>
  <c r="CC232"/>
  <c r="DC330"/>
  <c r="DC331" s="1"/>
  <c r="DC340" s="1"/>
  <c r="Y228"/>
  <c r="L330"/>
  <c r="L336" s="1"/>
  <c r="Y174"/>
  <c r="AJ174"/>
  <c r="U330"/>
  <c r="U331" s="1"/>
  <c r="E340"/>
  <c r="E332"/>
  <c r="CC144"/>
  <c r="BY330"/>
  <c r="AV141"/>
  <c r="F340"/>
  <c r="BY340" s="1"/>
  <c r="G340"/>
  <c r="CA296"/>
  <c r="CB296"/>
  <c r="AJ296"/>
  <c r="AB330"/>
  <c r="U338"/>
  <c r="AO331"/>
  <c r="AG330"/>
  <c r="AG331" s="1"/>
  <c r="AQ330"/>
  <c r="AP330"/>
  <c r="CD135"/>
  <c r="CD166" s="1"/>
  <c r="CA135"/>
  <c r="CC135"/>
  <c r="CB135"/>
  <c r="AV245"/>
  <c r="AW245"/>
  <c r="CF332"/>
  <c r="CF335" s="1"/>
  <c r="CF340" s="1"/>
  <c r="CF331"/>
  <c r="AG338"/>
  <c r="I331"/>
  <c r="I340" s="1"/>
  <c r="I332"/>
  <c r="I335" s="1"/>
  <c r="AY166"/>
  <c r="BD330"/>
  <c r="BD331" s="1"/>
  <c r="BD340" s="1"/>
  <c r="AX330"/>
  <c r="AX332" s="1"/>
  <c r="AX335" s="1"/>
  <c r="CB174"/>
  <c r="DD166"/>
  <c r="DD330" s="1"/>
  <c r="DD331" s="1"/>
  <c r="DD340" s="1"/>
  <c r="X142"/>
  <c r="BK172"/>
  <c r="BE330"/>
  <c r="BE332" s="1"/>
  <c r="BE335" s="1"/>
  <c r="BE336" s="1"/>
  <c r="BF330"/>
  <c r="BF331" s="1"/>
  <c r="BF340" s="1"/>
  <c r="N172"/>
  <c r="CD170"/>
  <c r="CD169" s="1"/>
  <c r="CD167" s="1"/>
  <c r="CB71"/>
  <c r="CA71"/>
  <c r="BE331"/>
  <c r="BE340" s="1"/>
  <c r="CC57"/>
  <c r="CB57"/>
  <c r="CA57"/>
  <c r="D331"/>
  <c r="D340" s="1"/>
  <c r="CA169" i="10" l="1"/>
  <c r="BM337"/>
  <c r="BF332"/>
  <c r="BF333" s="1"/>
  <c r="BF342" s="1"/>
  <c r="CC53"/>
  <c r="CF334"/>
  <c r="CF337" s="1"/>
  <c r="CF342" s="1"/>
  <c r="AA337"/>
  <c r="BF334"/>
  <c r="BF337" s="1"/>
  <c r="DG60"/>
  <c r="DG53" s="1"/>
  <c r="DG168" s="1"/>
  <c r="DG332" s="1"/>
  <c r="DG333" s="1"/>
  <c r="DG342" s="1"/>
  <c r="BB333"/>
  <c r="BB342" s="1"/>
  <c r="DA334"/>
  <c r="DA337" s="1"/>
  <c r="DA338" s="1"/>
  <c r="DA341" s="1"/>
  <c r="DA333"/>
  <c r="DA342" s="1"/>
  <c r="T60"/>
  <c r="AJ60"/>
  <c r="BY60"/>
  <c r="CB60" s="1"/>
  <c r="F53"/>
  <c r="CA60"/>
  <c r="BA53"/>
  <c r="BK60"/>
  <c r="BJ60"/>
  <c r="DE334"/>
  <c r="DE337" s="1"/>
  <c r="DE338" s="1"/>
  <c r="E334"/>
  <c r="E337" s="1"/>
  <c r="E338" s="1"/>
  <c r="E340" s="1"/>
  <c r="O338"/>
  <c r="O340" s="1"/>
  <c r="Y23"/>
  <c r="BN337"/>
  <c r="BM342"/>
  <c r="BO337"/>
  <c r="CD168"/>
  <c r="CD332" s="1"/>
  <c r="CD334" s="1"/>
  <c r="CD337" s="1"/>
  <c r="CD342" s="1"/>
  <c r="AZ338"/>
  <c r="AZ340" s="1"/>
  <c r="AO338"/>
  <c r="AO340" s="1"/>
  <c r="AV332"/>
  <c r="AO337"/>
  <c r="AW332"/>
  <c r="AO333"/>
  <c r="BC334"/>
  <c r="BC337" s="1"/>
  <c r="BC333"/>
  <c r="BC342" s="1"/>
  <c r="AK247"/>
  <c r="AJ247"/>
  <c r="DB334"/>
  <c r="DB337" s="1"/>
  <c r="DB338" s="1"/>
  <c r="AY334"/>
  <c r="AY337" s="1"/>
  <c r="AA338"/>
  <c r="AA342"/>
  <c r="BE334"/>
  <c r="BE337" s="1"/>
  <c r="BE338" s="1"/>
  <c r="BE333"/>
  <c r="BE342" s="1"/>
  <c r="DD334"/>
  <c r="DD337" s="1"/>
  <c r="G168"/>
  <c r="AX53"/>
  <c r="AW247"/>
  <c r="AV247"/>
  <c r="BZ342"/>
  <c r="CC31"/>
  <c r="CA31"/>
  <c r="CB31"/>
  <c r="BZ168"/>
  <c r="M332"/>
  <c r="AJ168"/>
  <c r="AC332"/>
  <c r="AK168"/>
  <c r="D334"/>
  <c r="D337" s="1"/>
  <c r="DA340"/>
  <c r="DF333"/>
  <c r="DF342" s="1"/>
  <c r="CC334"/>
  <c r="AM338"/>
  <c r="AM342"/>
  <c r="CC178" i="9"/>
  <c r="CB178"/>
  <c r="CA178"/>
  <c r="DA331"/>
  <c r="DA340" s="1"/>
  <c r="DA332"/>
  <c r="DA335" s="1"/>
  <c r="DA336" s="1"/>
  <c r="DA338" s="1"/>
  <c r="AA335"/>
  <c r="AA331"/>
  <c r="BB331"/>
  <c r="BB340" s="1"/>
  <c r="BC332" i="8"/>
  <c r="BC335" s="1"/>
  <c r="BC331"/>
  <c r="BC340" s="1"/>
  <c r="AN330"/>
  <c r="AW166"/>
  <c r="AV166"/>
  <c r="BE331"/>
  <c r="BE340" s="1"/>
  <c r="BE332"/>
  <c r="BE335" s="1"/>
  <c r="BE336" s="1"/>
  <c r="BD332"/>
  <c r="BD335" s="1"/>
  <c r="BD336" s="1"/>
  <c r="BD331"/>
  <c r="BD340" s="1"/>
  <c r="AY330" i="9"/>
  <c r="AY331" s="1"/>
  <c r="AY340" s="1"/>
  <c r="DE330"/>
  <c r="AT331"/>
  <c r="AT338"/>
  <c r="BZ28"/>
  <c r="CA37"/>
  <c r="CC37"/>
  <c r="CC167" i="8"/>
  <c r="CA167"/>
  <c r="CB167"/>
  <c r="AS338"/>
  <c r="AS331"/>
  <c r="AJ50"/>
  <c r="AB166"/>
  <c r="CB50"/>
  <c r="CC50"/>
  <c r="CA50"/>
  <c r="CB20"/>
  <c r="CA20"/>
  <c r="BJ20"/>
  <c r="BK20"/>
  <c r="AK50"/>
  <c r="BZ340"/>
  <c r="CC28"/>
  <c r="CB28"/>
  <c r="CA28"/>
  <c r="AZ330" i="9"/>
  <c r="BK330" s="1"/>
  <c r="BJ166"/>
  <c r="AK50"/>
  <c r="AC166"/>
  <c r="AJ50"/>
  <c r="CB228" i="8"/>
  <c r="CC228"/>
  <c r="CA228"/>
  <c r="AW228"/>
  <c r="AV228"/>
  <c r="T86"/>
  <c r="T85" s="1"/>
  <c r="K85"/>
  <c r="CA39"/>
  <c r="CB39"/>
  <c r="CC39"/>
  <c r="X21"/>
  <c r="X20" s="1"/>
  <c r="Y21"/>
  <c r="O20"/>
  <c r="AW296"/>
  <c r="CC166" i="9"/>
  <c r="BM330" i="8"/>
  <c r="E335"/>
  <c r="E336" s="1"/>
  <c r="E338" s="1"/>
  <c r="CC332"/>
  <c r="DB339"/>
  <c r="DB338"/>
  <c r="DA338"/>
  <c r="DA339"/>
  <c r="BB332"/>
  <c r="BB335" s="1"/>
  <c r="BB339" s="1"/>
  <c r="BB331"/>
  <c r="BB340" s="1"/>
  <c r="AX166"/>
  <c r="AX330" s="1"/>
  <c r="G330"/>
  <c r="DF340" i="9"/>
  <c r="BA332"/>
  <c r="BA335" s="1"/>
  <c r="AV330"/>
  <c r="F332"/>
  <c r="BG332"/>
  <c r="BG335" s="1"/>
  <c r="BC331"/>
  <c r="BC340" s="1"/>
  <c r="BC339" s="1"/>
  <c r="AY339" s="1"/>
  <c r="BA331"/>
  <c r="BA340" s="1"/>
  <c r="M330"/>
  <c r="BK296" i="8"/>
  <c r="BJ296"/>
  <c r="CC178"/>
  <c r="CA178"/>
  <c r="CB178"/>
  <c r="BA167"/>
  <c r="AA331"/>
  <c r="AA335"/>
  <c r="CD55"/>
  <c r="CD52"/>
  <c r="CD50" s="1"/>
  <c r="CD166" s="1"/>
  <c r="CD330" s="1"/>
  <c r="X166"/>
  <c r="Y166"/>
  <c r="AO331"/>
  <c r="AW330"/>
  <c r="AO335"/>
  <c r="AO336"/>
  <c r="AO338" s="1"/>
  <c r="AV330"/>
  <c r="CA30"/>
  <c r="DB42" i="9"/>
  <c r="DB39" s="1"/>
  <c r="DB28"/>
  <c r="DB331" s="1"/>
  <c r="CA232" i="8"/>
  <c r="CB232"/>
  <c r="CC232"/>
  <c r="AW245"/>
  <c r="AV245"/>
  <c r="CA166" i="9"/>
  <c r="D332" i="8"/>
  <c r="D335" s="1"/>
  <c r="BY166"/>
  <c r="F330"/>
  <c r="AZ336"/>
  <c r="AZ338" s="1"/>
  <c r="I339"/>
  <c r="DE332"/>
  <c r="DE335" s="1"/>
  <c r="DE336" s="1"/>
  <c r="DE338" s="1"/>
  <c r="DD332"/>
  <c r="DD335" s="1"/>
  <c r="BK166" i="9"/>
  <c r="I339"/>
  <c r="AM330"/>
  <c r="BA336"/>
  <c r="BA338" s="1"/>
  <c r="AX331"/>
  <c r="AX340" s="1"/>
  <c r="DG330"/>
  <c r="DG331" s="1"/>
  <c r="DG340" s="1"/>
  <c r="G332"/>
  <c r="G335" s="1"/>
  <c r="G336" s="1"/>
  <c r="G338" s="1"/>
  <c r="CC266"/>
  <c r="BZ263"/>
  <c r="CC263" s="1"/>
  <c r="CB167"/>
  <c r="CA167"/>
  <c r="H331"/>
  <c r="H340" s="1"/>
  <c r="H332"/>
  <c r="H335" s="1"/>
  <c r="X245"/>
  <c r="Y245"/>
  <c r="BI332"/>
  <c r="BI335" s="1"/>
  <c r="BI331"/>
  <c r="BI340" s="1"/>
  <c r="AA340"/>
  <c r="AA336"/>
  <c r="BF332"/>
  <c r="BF335" s="1"/>
  <c r="BM331"/>
  <c r="BM335"/>
  <c r="BH263"/>
  <c r="BH330" s="1"/>
  <c r="DE331"/>
  <c r="DE340" s="1"/>
  <c r="BD332"/>
  <c r="BD335" s="1"/>
  <c r="BD336" s="1"/>
  <c r="CC332"/>
  <c r="E335"/>
  <c r="E336" s="1"/>
  <c r="E338" s="1"/>
  <c r="AQ331"/>
  <c r="AQ338"/>
  <c r="X172"/>
  <c r="Y172"/>
  <c r="CD330"/>
  <c r="DC332"/>
  <c r="DC335" s="1"/>
  <c r="DC336" s="1"/>
  <c r="DC338" s="1"/>
  <c r="D332"/>
  <c r="D335" s="1"/>
  <c r="DD332"/>
  <c r="DD335" s="1"/>
  <c r="DA339"/>
  <c r="DG332"/>
  <c r="DG335" s="1"/>
  <c r="DG336" s="1"/>
  <c r="DG338" s="1"/>
  <c r="CD333" i="10" l="1"/>
  <c r="BB334"/>
  <c r="BB337" s="1"/>
  <c r="BB341" s="1"/>
  <c r="BA168"/>
  <c r="BJ53"/>
  <c r="BK53"/>
  <c r="F168"/>
  <c r="BY53"/>
  <c r="BN342"/>
  <c r="BO342"/>
  <c r="AC337"/>
  <c r="AJ332"/>
  <c r="AC338"/>
  <c r="AC340" s="1"/>
  <c r="AK332"/>
  <c r="AC333"/>
  <c r="M337"/>
  <c r="BZ332"/>
  <c r="M333"/>
  <c r="BZ333" s="1"/>
  <c r="DF334"/>
  <c r="DF337" s="1"/>
  <c r="DF338" s="1"/>
  <c r="DF340" s="1"/>
  <c r="CC168"/>
  <c r="CC342"/>
  <c r="DG334"/>
  <c r="DG337" s="1"/>
  <c r="DG338" s="1"/>
  <c r="DG340" s="1"/>
  <c r="G332"/>
  <c r="AX168"/>
  <c r="AX332" s="1"/>
  <c r="DB341"/>
  <c r="DB340"/>
  <c r="BC341"/>
  <c r="AY341" s="1"/>
  <c r="BB332" i="9"/>
  <c r="BB335" s="1"/>
  <c r="BB339" s="1"/>
  <c r="DB340"/>
  <c r="DB332"/>
  <c r="DB335" s="1"/>
  <c r="DB336" s="1"/>
  <c r="DB339" s="1"/>
  <c r="CA166" i="8"/>
  <c r="CB166"/>
  <c r="CD332"/>
  <c r="CD335" s="1"/>
  <c r="CD340" s="1"/>
  <c r="CD331"/>
  <c r="AA336"/>
  <c r="AA340"/>
  <c r="BJ167"/>
  <c r="BK167"/>
  <c r="BA330"/>
  <c r="M335" i="9"/>
  <c r="M331"/>
  <c r="BZ330"/>
  <c r="AX332" i="8"/>
  <c r="AX335" s="1"/>
  <c r="AX331"/>
  <c r="AX340" s="1"/>
  <c r="Y20"/>
  <c r="O336"/>
  <c r="O338" s="1"/>
  <c r="AJ166" i="9"/>
  <c r="AK166"/>
  <c r="AC330"/>
  <c r="AB330" i="8"/>
  <c r="AJ166"/>
  <c r="AK166"/>
  <c r="AY332" i="9"/>
  <c r="AY335" s="1"/>
  <c r="BZ331"/>
  <c r="CC331" s="1"/>
  <c r="H336"/>
  <c r="H338" s="1"/>
  <c r="BY330" i="8"/>
  <c r="F331"/>
  <c r="BY332" i="9"/>
  <c r="F335"/>
  <c r="G331" i="8"/>
  <c r="G340" s="1"/>
  <c r="BM335"/>
  <c r="BM331"/>
  <c r="BZ331" s="1"/>
  <c r="BZ330"/>
  <c r="AZ331" i="9"/>
  <c r="AZ340" s="1"/>
  <c r="AZ332"/>
  <c r="AZ335" s="1"/>
  <c r="BJ330"/>
  <c r="CC340" i="8"/>
  <c r="BZ340" i="9"/>
  <c r="CC28"/>
  <c r="CA28"/>
  <c r="CB28"/>
  <c r="BC339" i="8"/>
  <c r="AY339" s="1"/>
  <c r="AM331" i="9"/>
  <c r="AM335"/>
  <c r="DE332"/>
  <c r="DE335" s="1"/>
  <c r="DE336" s="1"/>
  <c r="DE338" s="1"/>
  <c r="CA331"/>
  <c r="BN335"/>
  <c r="BO335"/>
  <c r="BM340"/>
  <c r="BH332"/>
  <c r="BH335" s="1"/>
  <c r="BH331"/>
  <c r="BH340" s="1"/>
  <c r="CD332"/>
  <c r="CD335" s="1"/>
  <c r="CD340" s="1"/>
  <c r="CD331"/>
  <c r="DB338"/>
  <c r="CB53" i="10" l="1"/>
  <c r="CA53"/>
  <c r="BA332"/>
  <c r="BK168"/>
  <c r="BJ168"/>
  <c r="F332"/>
  <c r="BY168"/>
  <c r="AX334"/>
  <c r="AX337" s="1"/>
  <c r="AX333"/>
  <c r="AX342" s="1"/>
  <c r="G333"/>
  <c r="G342" s="1"/>
  <c r="CC333"/>
  <c r="BZ337"/>
  <c r="M338"/>
  <c r="M342"/>
  <c r="CC332"/>
  <c r="CA340" i="9"/>
  <c r="CB340"/>
  <c r="CC340"/>
  <c r="CC331" i="8"/>
  <c r="F336" i="9"/>
  <c r="F338" s="1"/>
  <c r="BY335"/>
  <c r="F340" i="8"/>
  <c r="BY340" s="1"/>
  <c r="BY331"/>
  <c r="CA331" s="1"/>
  <c r="AK330"/>
  <c r="AJ330"/>
  <c r="CC330" i="9"/>
  <c r="CB330"/>
  <c r="CA330"/>
  <c r="BZ335"/>
  <c r="M340"/>
  <c r="M336"/>
  <c r="CB331"/>
  <c r="AZ336"/>
  <c r="AZ338" s="1"/>
  <c r="CC330" i="8"/>
  <c r="CA330"/>
  <c r="CB330"/>
  <c r="BN335"/>
  <c r="BO335"/>
  <c r="BZ335"/>
  <c r="BM340"/>
  <c r="G332"/>
  <c r="G335" s="1"/>
  <c r="G336" s="1"/>
  <c r="G338" s="1"/>
  <c r="CA332" i="9"/>
  <c r="CB332"/>
  <c r="F332" i="8"/>
  <c r="AC335" i="9"/>
  <c r="AC336"/>
  <c r="AC338" s="1"/>
  <c r="AC331"/>
  <c r="AK330"/>
  <c r="AJ330"/>
  <c r="BJ330" i="8"/>
  <c r="BA332"/>
  <c r="BA335" s="1"/>
  <c r="BA336" s="1"/>
  <c r="BA338" s="1"/>
  <c r="BA331"/>
  <c r="BA340" s="1"/>
  <c r="BK330"/>
  <c r="AM340" i="9"/>
  <c r="AM336"/>
  <c r="BO340"/>
  <c r="BN340"/>
  <c r="CB168" i="10" l="1"/>
  <c r="CA168"/>
  <c r="BJ332"/>
  <c r="BK332"/>
  <c r="BA334"/>
  <c r="BA337" s="1"/>
  <c r="BA333"/>
  <c r="BA342" s="1"/>
  <c r="BY332"/>
  <c r="F333"/>
  <c r="G334"/>
  <c r="G337" s="1"/>
  <c r="G338" s="1"/>
  <c r="G340" s="1"/>
  <c r="CC337"/>
  <c r="CC335" i="8"/>
  <c r="CB335" i="9"/>
  <c r="CA335"/>
  <c r="CC335"/>
  <c r="CB331" i="8"/>
  <c r="BY332"/>
  <c r="F335"/>
  <c r="BN340"/>
  <c r="BO340"/>
  <c r="CA340"/>
  <c r="CB340"/>
  <c r="CA332" i="10" l="1"/>
  <c r="CB332"/>
  <c r="BA338"/>
  <c r="BA340" s="1"/>
  <c r="F342"/>
  <c r="BY342" s="1"/>
  <c r="F334"/>
  <c r="BY333"/>
  <c r="CA332" i="8"/>
  <c r="CB332"/>
  <c r="BY335"/>
  <c r="F336"/>
  <c r="F338" s="1"/>
  <c r="CB333" i="10" l="1"/>
  <c r="CA333"/>
  <c r="F337"/>
  <c r="BY334"/>
  <c r="CB342"/>
  <c r="CA342"/>
  <c r="CA335" i="8"/>
  <c r="CB335"/>
  <c r="BY337" i="10" l="1"/>
  <c r="F338"/>
  <c r="F340" s="1"/>
  <c r="CB334"/>
  <c r="CA334"/>
  <c r="CB337" l="1"/>
  <c r="CA337"/>
</calcChain>
</file>

<file path=xl/sharedStrings.xml><?xml version="1.0" encoding="utf-8"?>
<sst xmlns="http://schemas.openxmlformats.org/spreadsheetml/2006/main" count="2248" uniqueCount="356">
  <si>
    <t>Статьи затрат</t>
  </si>
  <si>
    <t>АМОРТИЗАЦИЯ</t>
  </si>
  <si>
    <t>ЗАТРАТЫ НА ОПЛАТУ ТРУДА</t>
  </si>
  <si>
    <t>Оплата труда</t>
  </si>
  <si>
    <t>Транспортный налог</t>
  </si>
  <si>
    <t xml:space="preserve">ПРИОБРЕТЕНИЕ БУНКЕРОВ, КОНТЕЙНЕРОВ </t>
  </si>
  <si>
    <t>ПРОЧИЕ РАСХОДЫ</t>
  </si>
  <si>
    <t>Канцелярские товары</t>
  </si>
  <si>
    <t>Медикаменты</t>
  </si>
  <si>
    <t>Охрана труда</t>
  </si>
  <si>
    <t>Расходы по спецодежде и спецостнаске</t>
  </si>
  <si>
    <t>Услуги связи</t>
  </si>
  <si>
    <t>РЕМОНТ И СОДЕРЖАНИЕ КОНТЕЙНЕРОВ И КОНТЕЙНЕРНЫХ ПЛОЩАДОК</t>
  </si>
  <si>
    <t>Материалы</t>
  </si>
  <si>
    <t>Услуги по дератизации</t>
  </si>
  <si>
    <t>РЕМОНТ И ТЕХ.ОБСЛУЖ. А/М</t>
  </si>
  <si>
    <t>Запасные части</t>
  </si>
  <si>
    <t>Услуги наемной техники</t>
  </si>
  <si>
    <t>Услуги по ремонту автотранспорта</t>
  </si>
  <si>
    <t>Хоз.инвентарь</t>
  </si>
  <si>
    <t>СТРАХОВАНИЕ АВТОТРАНСПОРТА</t>
  </si>
  <si>
    <t>Страхование автотранспорта</t>
  </si>
  <si>
    <t>ТОПЛИВО</t>
  </si>
  <si>
    <t>Агентское вознаграждение</t>
  </si>
  <si>
    <t>Газ</t>
  </si>
  <si>
    <t>гсм</t>
  </si>
  <si>
    <t>Дизтопливо</t>
  </si>
  <si>
    <t>Аренда а/м</t>
  </si>
  <si>
    <t>ОБСЛУЖИВАНИЕ ОРГТЕХНИКИ</t>
  </si>
  <si>
    <t>Заправка картриджа</t>
  </si>
  <si>
    <t>Вода</t>
  </si>
  <si>
    <t>Комиссия за ТБО</t>
  </si>
  <si>
    <t>Офисные принадлежности(мебель,оргтехника,быттехника)</t>
  </si>
  <si>
    <t>Услуги по обслуживанию ККМ</t>
  </si>
  <si>
    <t>Услуги почты</t>
  </si>
  <si>
    <t>№ п/п</t>
  </si>
  <si>
    <t>Ед. изм.</t>
  </si>
  <si>
    <t>Факт 2012 год</t>
  </si>
  <si>
    <t>численность</t>
  </si>
  <si>
    <t>средняя з/п</t>
  </si>
  <si>
    <t>Сопровожд.комплекса программ</t>
  </si>
  <si>
    <t>Сопровожд.Консультант Плюс</t>
  </si>
  <si>
    <t>ГСМ</t>
  </si>
  <si>
    <t>Натуральные показатели</t>
  </si>
  <si>
    <t>Проценты по кредиту</t>
  </si>
  <si>
    <t>Всего затрат на реализацию</t>
  </si>
  <si>
    <t>Прибыль после налогообложения</t>
  </si>
  <si>
    <t>План</t>
  </si>
  <si>
    <t>Факт</t>
  </si>
  <si>
    <t>III квартал 2013г.</t>
  </si>
  <si>
    <t>IV квартал 2013г.</t>
  </si>
  <si>
    <t>Услуги эксперта</t>
  </si>
  <si>
    <t>Услуги банка</t>
  </si>
  <si>
    <t>Штрафы, пени по налогам</t>
  </si>
  <si>
    <t>тыс. руб.</t>
  </si>
  <si>
    <t>Командировочные расходы</t>
  </si>
  <si>
    <t>Обучение по экологической безопасности</t>
  </si>
  <si>
    <t>Услуги эвакуатора</t>
  </si>
  <si>
    <t>Ремонт мойки выс.давления</t>
  </si>
  <si>
    <t>Ремонт принтера</t>
  </si>
  <si>
    <t>Содержание помещений</t>
  </si>
  <si>
    <t>Тек. ремонт мемориала совет. воинам</t>
  </si>
  <si>
    <t>Услуги по рекламе</t>
  </si>
  <si>
    <t>Услуги по экологическому расчету</t>
  </si>
  <si>
    <t>Технический осмотр автотранспорта</t>
  </si>
  <si>
    <t>Карта продления Касперского</t>
  </si>
  <si>
    <t>Ремонт картриджа</t>
  </si>
  <si>
    <t>Продление сертификата ключа подписи</t>
  </si>
  <si>
    <t>Услуга по срочной выписке сведений из ЕГРЮЛ</t>
  </si>
  <si>
    <t>2013 год</t>
  </si>
  <si>
    <t>Цех ритуальных услуг (20)</t>
  </si>
  <si>
    <t>Ритуальные товары</t>
  </si>
  <si>
    <t>Услуги экскаватора</t>
  </si>
  <si>
    <t>Услуги по установке памятника</t>
  </si>
  <si>
    <t>ЕНВД</t>
  </si>
  <si>
    <t>Отклонение по отношению к 2012 году (+/-)</t>
  </si>
  <si>
    <t>ТБО (выполнение калькуляции)</t>
  </si>
  <si>
    <t>ТБО прочие</t>
  </si>
  <si>
    <t>ЦРУ</t>
  </si>
  <si>
    <t>Материалы ЦРУ</t>
  </si>
  <si>
    <t xml:space="preserve"> </t>
  </si>
  <si>
    <t>тыс. куб.м</t>
  </si>
  <si>
    <t>чел.</t>
  </si>
  <si>
    <t>руб.</t>
  </si>
  <si>
    <t>Стоимость услуги для 1 человека</t>
  </si>
  <si>
    <t>Стоимость 1м3 для предприятий</t>
  </si>
  <si>
    <t>куб.м</t>
  </si>
  <si>
    <t>Население</t>
  </si>
  <si>
    <t>Предприятия</t>
  </si>
  <si>
    <t>Дополнительно (по заявкам)</t>
  </si>
  <si>
    <t>Стихийные свалки</t>
  </si>
  <si>
    <t>Сдача помещений в аренду</t>
  </si>
  <si>
    <t>Обязательные страховые взносы, 20,3%</t>
  </si>
  <si>
    <t>Испытание пропанового баллона</t>
  </si>
  <si>
    <t>Диагностика а/транспорта</t>
  </si>
  <si>
    <t>Электроэнергия</t>
  </si>
  <si>
    <t>КОММУНАЛЬНЫЕ УСЛУГИ</t>
  </si>
  <si>
    <t>Размещение информации на сайте "Строй.-жил. Вестник по ЮФО"</t>
  </si>
  <si>
    <t>Февраль 2014г.</t>
  </si>
  <si>
    <t>Сопровождение "1 С:Предприятия"</t>
  </si>
  <si>
    <t>Проценты к уплате</t>
  </si>
  <si>
    <t>Прочие внереализационные расходы</t>
  </si>
  <si>
    <t>Расходы на услуги банков</t>
  </si>
  <si>
    <t>Штрафы, пени и неустойки к уплате</t>
  </si>
  <si>
    <t>Ремонт автотранспорта</t>
  </si>
  <si>
    <t>Выручка (предъявлено к оплате)</t>
  </si>
  <si>
    <t>Доходы (фактически оплачено)</t>
  </si>
  <si>
    <t>План Население</t>
  </si>
  <si>
    <t>План Предприятия</t>
  </si>
  <si>
    <t>Ритуальные услуги население</t>
  </si>
  <si>
    <t>Ритуальные услуги ПНИ</t>
  </si>
  <si>
    <t>Услуги по приему опасных отходов</t>
  </si>
  <si>
    <t>Взносы в ПФР</t>
  </si>
  <si>
    <t>Взносы в ФСС по НС и ПЗ</t>
  </si>
  <si>
    <t>Материальная помощь</t>
  </si>
  <si>
    <t>РАСХОДЫ НА ТРАНСПОРТ</t>
  </si>
  <si>
    <t>в т.ч.:</t>
  </si>
  <si>
    <t>Поверка алкометра</t>
  </si>
  <si>
    <t>Поверка тонометра</t>
  </si>
  <si>
    <t>Тек.ремонт,содержание а/техники</t>
  </si>
  <si>
    <t>Масло</t>
  </si>
  <si>
    <t>Вода (городское кладбище)</t>
  </si>
  <si>
    <t>Вода (мемориал)</t>
  </si>
  <si>
    <t>Расходы, связанные с ликвидацией ОС</t>
  </si>
  <si>
    <t>Расходы, связанные со списанием МЦ</t>
  </si>
  <si>
    <t>ЭО-2621</t>
  </si>
  <si>
    <t>Отработанные аккумуляторы с неслитым электролитом</t>
  </si>
  <si>
    <t>Прочие внереализационные расходы (госпошлина)</t>
  </si>
  <si>
    <t>Государственная пошлина (Мировой суд)</t>
  </si>
  <si>
    <t>План на I полугодие 2014 года</t>
  </si>
  <si>
    <t>Техническое обслуживание (глонасс)</t>
  </si>
  <si>
    <t>Обучение по охране труда</t>
  </si>
  <si>
    <t>Металлолом</t>
  </si>
  <si>
    <t>Подарки</t>
  </si>
  <si>
    <t>Право использования программы "Контур-Экстерн"</t>
  </si>
  <si>
    <t>Расходы, связанные с безвоздмездной передачей имущества, работ, услуг или имущественных прав</t>
  </si>
  <si>
    <t>Списание дебиторской задолженности</t>
  </si>
  <si>
    <t xml:space="preserve">Организация ритуальных услуг </t>
  </si>
  <si>
    <t>4.1</t>
  </si>
  <si>
    <t>4.2</t>
  </si>
  <si>
    <t>5.2</t>
  </si>
  <si>
    <t>7.1</t>
  </si>
  <si>
    <t>8.1</t>
  </si>
  <si>
    <t>8.2</t>
  </si>
  <si>
    <t>8.3</t>
  </si>
  <si>
    <t>8.4</t>
  </si>
  <si>
    <t>8.5</t>
  </si>
  <si>
    <t>8.6</t>
  </si>
  <si>
    <t>9.1</t>
  </si>
  <si>
    <t>9.2</t>
  </si>
  <si>
    <t>9.4</t>
  </si>
  <si>
    <t>9.5</t>
  </si>
  <si>
    <t>9.6</t>
  </si>
  <si>
    <t>9.8</t>
  </si>
  <si>
    <t>__________________ /Е.А. Назарова/</t>
  </si>
  <si>
    <t>Вывоз ТБО и выполнение работ по мун. контракту "Содержание мест захоронений"</t>
  </si>
  <si>
    <t>Взвешивание автотранспорта</t>
  </si>
  <si>
    <t>Госпошлина МРЭО ГИБДД</t>
  </si>
  <si>
    <t>Оформление заявки на регистрацию ТС</t>
  </si>
  <si>
    <t>Услуги связи МТС</t>
  </si>
  <si>
    <t>Управление</t>
  </si>
  <si>
    <t>Абонентский отдел</t>
  </si>
  <si>
    <t>Содержание оргтехники</t>
  </si>
  <si>
    <t>Вода питьевая 19л.</t>
  </si>
  <si>
    <t>Консультационные услуги по форме 2ТП-(отходы)</t>
  </si>
  <si>
    <t>КСС "Система Кадры"</t>
  </si>
  <si>
    <t>Приобретение оргтехники</t>
  </si>
  <si>
    <t>ЮСС "Система Юрист"</t>
  </si>
  <si>
    <t>Комиссия банка</t>
  </si>
  <si>
    <t>Оплата труда по договорам подряда</t>
  </si>
  <si>
    <t>Обязательные страховые взносы, 20,0%</t>
  </si>
  <si>
    <t>Страхование а/м</t>
  </si>
  <si>
    <t>Налоги</t>
  </si>
  <si>
    <t>Лизинг</t>
  </si>
  <si>
    <t>Прочие прямые расходы</t>
  </si>
  <si>
    <t>Автомобильные аптечки</t>
  </si>
  <si>
    <t>Ремонт контейнеров/бункеров</t>
  </si>
  <si>
    <t>Отсыпка подъездных путей</t>
  </si>
  <si>
    <t>Бензин</t>
  </si>
  <si>
    <t>Расходы на автотранспорт (аренда)</t>
  </si>
  <si>
    <t>Уничтожение безнадзорных животных</t>
  </si>
  <si>
    <t>Всего расходы на производство</t>
  </si>
  <si>
    <t>Обслуживание пожарной сигнализации</t>
  </si>
  <si>
    <t>Ремонт административного здания (сан.узел)</t>
  </si>
  <si>
    <t>Техподдержка "1С:Предприятие"</t>
  </si>
  <si>
    <t>Приобретение бункеров</t>
  </si>
  <si>
    <t>Обучение по 223-ФЗ</t>
  </si>
  <si>
    <t>Услуги программирования</t>
  </si>
  <si>
    <t>Прибыль до налогообложения</t>
  </si>
  <si>
    <t>,</t>
  </si>
  <si>
    <t>Госпошлина Автодорожный надзор</t>
  </si>
  <si>
    <t>Обучение диспетчера</t>
  </si>
  <si>
    <t>Содержание помещений (установка окон)</t>
  </si>
  <si>
    <t>Услуги (расходы) по рекламе</t>
  </si>
  <si>
    <t>Доставка бульдозера</t>
  </si>
  <si>
    <t>Услуги бульдозера</t>
  </si>
  <si>
    <t>Гравировка</t>
  </si>
  <si>
    <t>Услуги по дератизации кладбищ</t>
  </si>
  <si>
    <t>Техническое обслуживание газопроводов</t>
  </si>
  <si>
    <t>Страхование а/м (передвиж. мастерская)</t>
  </si>
  <si>
    <t>Профилактика принтера</t>
  </si>
  <si>
    <t>Право использования программы по 223фз продление</t>
  </si>
  <si>
    <t>Благотворительное пожертвование на гражданскую компанию "Гергриевская лента"</t>
  </si>
  <si>
    <t>Срочная выписка из ЕГРЮЛ</t>
  </si>
  <si>
    <t>Оказание дополнительных услуг</t>
  </si>
  <si>
    <t>Переодический профилактический медицинский осмотр</t>
  </si>
  <si>
    <t>Переустановка "Глонас"</t>
  </si>
  <si>
    <t>Аварийно-диспетчерское обеспечение</t>
  </si>
  <si>
    <t>Инструктаж ответственного за газовое хозяйство общ. и адм. зданий</t>
  </si>
  <si>
    <t>Материалы для упаковки пластиковых бутылок</t>
  </si>
  <si>
    <t>Проверка дымовых и вентиляционных каналов</t>
  </si>
  <si>
    <t>Тех.обслуживание сигнализаторов и системы контроля загазованности помещений</t>
  </si>
  <si>
    <t>Изготовление штампов</t>
  </si>
  <si>
    <t>Семинар по экологии</t>
  </si>
  <si>
    <t>Электронный журнал "Госзакупки в учреждениях"</t>
  </si>
  <si>
    <t>Обслуживание оргтехники</t>
  </si>
  <si>
    <t>Текущий ремонт помещений</t>
  </si>
  <si>
    <t>8.7</t>
  </si>
  <si>
    <t>Услуги по дезинфекции контейнеров/бункеров</t>
  </si>
  <si>
    <t>Ремонт бензокосы</t>
  </si>
  <si>
    <t>Дезинфекция транспорта</t>
  </si>
  <si>
    <t>Подготовка экологической документации</t>
  </si>
  <si>
    <t>Разработка паспортов опасных отходов</t>
  </si>
  <si>
    <t>Разработка ПДВ</t>
  </si>
  <si>
    <t>Разработка техотчета</t>
  </si>
  <si>
    <t>Согласование паспортов опасных отходов</t>
  </si>
  <si>
    <t>Гидрометеорологическая ин-ия для ПДВ</t>
  </si>
  <si>
    <t>Дератизация производственных помещений</t>
  </si>
  <si>
    <t>Обучение по пожарно-техническому минимуму</t>
  </si>
  <si>
    <t>Огнезащитная обработка деревянных конструкций</t>
  </si>
  <si>
    <t>Техническое обслуживание газовых приборов</t>
  </si>
  <si>
    <t>Компенсация за молоко</t>
  </si>
  <si>
    <t>Оборудование пожарной сигнализации</t>
  </si>
  <si>
    <t>Контейнер для ядоприемника (мышеловка)</t>
  </si>
  <si>
    <t>Мозаичный цех</t>
  </si>
  <si>
    <t>Доставка груза</t>
  </si>
  <si>
    <t>Государственная пошлина (МОТР)</t>
  </si>
  <si>
    <t>Государственная пошлина (ИФНС)</t>
  </si>
  <si>
    <t>Штраф в Росприроднадзор</t>
  </si>
  <si>
    <t>Налог за негативное воздействие на окр. среду</t>
  </si>
  <si>
    <t>ЗАТРАТЫ НА ОПЛАТУ ТРУДА по договорам подряда</t>
  </si>
  <si>
    <t>8</t>
  </si>
  <si>
    <t>9</t>
  </si>
  <si>
    <t>_____________________/Е.А. Назарова/</t>
  </si>
  <si>
    <t>2016 год</t>
  </si>
  <si>
    <t>БСС "Система Главбух"Кадры"Юрист"</t>
  </si>
  <si>
    <t>Оформление объектов недвижимости</t>
  </si>
  <si>
    <t>Приобретение контейнеров</t>
  </si>
  <si>
    <t>Услуги связи МТС (охрана)</t>
  </si>
  <si>
    <t>Огнетушители в машины</t>
  </si>
  <si>
    <t>Звуковые оповещатели пожарные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</si>
  <si>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</si>
  <si>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</si>
  <si>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</si>
  <si>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</si>
  <si>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</si>
  <si>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</si>
  <si>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</si>
  <si>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</si>
  <si>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</si>
  <si>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</si>
  <si>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</si>
  <si>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3.7.6</t>
  </si>
  <si>
    <t>4</t>
  </si>
  <si>
    <t>5</t>
  </si>
  <si>
    <t>6</t>
  </si>
  <si>
    <t>6.1</t>
  </si>
  <si>
    <t>6.1.1</t>
  </si>
  <si>
    <t>6.1.2</t>
  </si>
  <si>
    <t>6.2</t>
  </si>
  <si>
    <t>6.2.1</t>
  </si>
  <si>
    <t>6.2.2</t>
  </si>
  <si>
    <t>6.2.3</t>
  </si>
  <si>
    <t>6.2.4</t>
  </si>
  <si>
    <t>7</t>
  </si>
  <si>
    <t>Строительство контейнерных площадок нового образца</t>
  </si>
  <si>
    <r>
      <rPr>
        <sz val="9"/>
        <rFont val="Cambria"/>
        <family val="1"/>
        <charset val="204"/>
      </rPr>
      <t xml:space="preserve"> (93,57%) бытовые отходы</t>
    </r>
  </si>
  <si>
    <r>
      <rPr>
        <sz val="9"/>
        <rFont val="Cambria"/>
        <family val="1"/>
        <charset val="204"/>
      </rPr>
      <t>(6,43%) КГМ</t>
    </r>
  </si>
  <si>
    <r>
      <rPr>
        <sz val="9"/>
        <rFont val="Cambria"/>
        <family val="1"/>
        <charset val="204"/>
      </rPr>
      <t>(91,01) Стихийные свалки</t>
    </r>
  </si>
  <si>
    <r>
      <rPr>
        <sz val="9"/>
        <rFont val="Cambria"/>
        <family val="1"/>
        <charset val="204"/>
      </rPr>
      <t>(91,01) Прочие доходы</t>
    </r>
  </si>
  <si>
    <t>Строительство бетонных оснований</t>
  </si>
  <si>
    <t>Публикация в газету</t>
  </si>
  <si>
    <t>КАЛЬКУЛЯЦИЯ</t>
  </si>
  <si>
    <t>МУП ТГП ТР "Чистый город"</t>
  </si>
  <si>
    <t>Услуги по приему и сортировке отходов</t>
  </si>
  <si>
    <r>
      <t>Прямые расходы</t>
    </r>
    <r>
      <rPr>
        <b/>
        <i/>
        <sz val="9"/>
        <color indexed="9"/>
        <rFont val="Cambria"/>
        <family val="1"/>
        <charset val="204"/>
      </rPr>
      <t xml:space="preserve"> (20)</t>
    </r>
  </si>
  <si>
    <r>
      <t>Цеховые расходы</t>
    </r>
    <r>
      <rPr>
        <b/>
        <i/>
        <sz val="9"/>
        <color indexed="9"/>
        <rFont val="Cambria"/>
        <family val="1"/>
        <charset val="204"/>
      </rPr>
      <t xml:space="preserve"> (20)</t>
    </r>
  </si>
  <si>
    <r>
      <t>Общехозяйственные расходы</t>
    </r>
    <r>
      <rPr>
        <b/>
        <i/>
        <sz val="9"/>
        <color indexed="9"/>
        <rFont val="Cambria"/>
        <family val="1"/>
        <charset val="204"/>
      </rPr>
      <t xml:space="preserve"> (26)</t>
    </r>
  </si>
  <si>
    <r>
      <t>Прочие расходы</t>
    </r>
    <r>
      <rPr>
        <b/>
        <i/>
        <sz val="9"/>
        <color indexed="9"/>
        <rFont val="Cambria"/>
        <family val="1"/>
        <charset val="204"/>
      </rPr>
      <t xml:space="preserve"> (91.02)</t>
    </r>
  </si>
  <si>
    <r>
      <t>Налог на доходы, 6%</t>
    </r>
    <r>
      <rPr>
        <sz val="9"/>
        <color indexed="9"/>
        <rFont val="Cambria"/>
        <family val="1"/>
        <charset val="204"/>
      </rPr>
      <t xml:space="preserve"> </t>
    </r>
    <r>
      <rPr>
        <sz val="9"/>
        <color indexed="9"/>
        <rFont val="Cambria"/>
        <family val="1"/>
        <charset val="204"/>
      </rPr>
      <t>(99.02.1)</t>
    </r>
  </si>
  <si>
    <t>Норматив накопления ТКО на 1 человека</t>
  </si>
  <si>
    <t>расчета тарифа на услуги по сбору и транспортированию твердых коммунальных отходов</t>
  </si>
  <si>
    <t>Стоимость 1м3</t>
  </si>
  <si>
    <t>ПРОЧИЕ РАСХОДЫ, в т.ч.:</t>
  </si>
  <si>
    <t>Субсидии из бюджета ТГП ТР</t>
  </si>
  <si>
    <t>Приложение</t>
  </si>
  <si>
    <t>Темрюкского городского поселения</t>
  </si>
  <si>
    <t>Темрюкского района III созыва</t>
  </si>
  <si>
    <t>А.В. Румянцева</t>
  </si>
  <si>
    <t>Итого стоимость услуг по сбору и транспортированию ТКО</t>
  </si>
  <si>
    <t>Стоимость услуг по сбору и транспортированию ТКО</t>
  </si>
  <si>
    <t>Собрано и транспортировано ТКО всего, в т.ч.:</t>
  </si>
  <si>
    <t>2017 год</t>
  </si>
  <si>
    <t>к решению _____ сессии Совета</t>
  </si>
  <si>
    <t>от ______________ 2016 года № _____</t>
  </si>
  <si>
    <t>Дезинфекция бункеров</t>
  </si>
  <si>
    <t>Дезинфекция контейнеров</t>
  </si>
  <si>
    <t>Обучение по обращению с отходами</t>
  </si>
  <si>
    <t>Проведение измерений и анализ промышленных выбросов</t>
  </si>
  <si>
    <t>Техосмотр</t>
  </si>
  <si>
    <t>Экспертиза промышленных объектов</t>
  </si>
  <si>
    <t>Госпошлина-постановка на учет</t>
  </si>
  <si>
    <t>Поверка газового счетчика</t>
  </si>
  <si>
    <t>Курсы повышения квалификации</t>
  </si>
  <si>
    <t>Подписка на газету Тамань</t>
  </si>
  <si>
    <t>Производственный контроль рабочих мест</t>
  </si>
  <si>
    <t>Услуги нотариуса</t>
  </si>
  <si>
    <t>Материальные расходы</t>
  </si>
  <si>
    <t>норматив</t>
  </si>
  <si>
    <t>Реш. № 298</t>
  </si>
  <si>
    <t>Реш. № 283</t>
  </si>
  <si>
    <t>Реш. № 228</t>
  </si>
  <si>
    <t>2015 год</t>
  </si>
  <si>
    <t>Реш. № 100</t>
  </si>
  <si>
    <t>6.1.5</t>
  </si>
  <si>
    <t>6.1.4</t>
  </si>
  <si>
    <t>Реш. № 328</t>
  </si>
  <si>
    <t>2018 год</t>
  </si>
  <si>
    <t>Оценка</t>
  </si>
  <si>
    <t>от ______________ 2017 года № _____</t>
  </si>
  <si>
    <t>Заместитель главы Темрюкского городского поселения</t>
  </si>
  <si>
    <t>Темрюкского района</t>
  </si>
  <si>
    <t>А. В. Румянцева</t>
  </si>
  <si>
    <t>от ______________ 2018 года № _____</t>
  </si>
  <si>
    <t>1 пол</t>
  </si>
  <si>
    <t>2 пол</t>
  </si>
  <si>
    <t xml:space="preserve"> (93,57%) бытовые отходы</t>
  </si>
  <si>
    <t>(6,43%) КГМ</t>
  </si>
  <si>
    <t>(91,01) Прочие доходы</t>
  </si>
  <si>
    <t>(91,01) Стихийные свалки</t>
  </si>
  <si>
    <r>
      <t>Прямые расходы</t>
    </r>
    <r>
      <rPr>
        <b/>
        <i/>
        <sz val="9"/>
        <color indexed="9"/>
        <rFont val="Cambria"/>
        <family val="1"/>
        <charset val="204"/>
        <scheme val="major"/>
      </rPr>
      <t xml:space="preserve"> (20)</t>
    </r>
  </si>
  <si>
    <r>
      <t>Цеховые расходы</t>
    </r>
    <r>
      <rPr>
        <b/>
        <i/>
        <sz val="9"/>
        <color indexed="9"/>
        <rFont val="Cambria"/>
        <family val="1"/>
        <charset val="204"/>
        <scheme val="major"/>
      </rPr>
      <t xml:space="preserve"> (20)</t>
    </r>
  </si>
  <si>
    <r>
      <t>Общехозяйственные расходы</t>
    </r>
    <r>
      <rPr>
        <b/>
        <i/>
        <sz val="9"/>
        <color indexed="9"/>
        <rFont val="Cambria"/>
        <family val="1"/>
        <charset val="204"/>
        <scheme val="major"/>
      </rPr>
      <t xml:space="preserve"> (26)</t>
    </r>
  </si>
  <si>
    <r>
      <t>Прочие расходы</t>
    </r>
    <r>
      <rPr>
        <b/>
        <i/>
        <sz val="9"/>
        <color indexed="9"/>
        <rFont val="Cambria"/>
        <family val="1"/>
        <charset val="204"/>
        <scheme val="major"/>
      </rPr>
      <t xml:space="preserve"> (91.02)</t>
    </r>
  </si>
  <si>
    <r>
      <t>Налог на доходы, 6%</t>
    </r>
    <r>
      <rPr>
        <sz val="9"/>
        <color indexed="9"/>
        <rFont val="Cambria"/>
        <family val="1"/>
        <charset val="204"/>
        <scheme val="major"/>
      </rPr>
      <t xml:space="preserve"> (99.02.1)</t>
    </r>
  </si>
  <si>
    <t>расчета тарифа муниципальному унитарному предприятию Темрюкского городского поселения Темрюкского района «Чистый город» на услуги по сбору и транспортированию твердых коммунальных отходов на территории Темрюкского городского поселения Темрюкского района</t>
  </si>
  <si>
    <t>Прочие расходы</t>
  </si>
  <si>
    <t>Обязательные страховые взносы</t>
  </si>
  <si>
    <t>Налог на доходы</t>
  </si>
  <si>
    <t>от"____" ______________ 2020 года № _____</t>
  </si>
  <si>
    <t>Темрюкского района           созыва</t>
  </si>
  <si>
    <t>2020 год</t>
  </si>
  <si>
    <t>3.6.1</t>
  </si>
  <si>
    <t>Услуги по приему и захоронению отходов</t>
  </si>
  <si>
    <t>Реш.№74</t>
  </si>
  <si>
    <t>с 01.07.2020г.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</si>
</sst>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.0"/>
    <numFmt numFmtId="166" formatCode="#,##0.000"/>
    <numFmt numFmtId="167" formatCode="0.00_ ;[Red]\-0.00\ "/>
  </numFmts>
  <fonts count="29">
    <font>
      <sz val="8"/>
      <name val="Arial"/>
      <family val="2"/>
    </font>
    <font>
      <sz val="9"/>
      <name val="Cambria"/>
      <family val="1"/>
      <charset val="204"/>
    </font>
    <font>
      <sz val="11"/>
      <name val="Times New Roman"/>
      <family val="1"/>
      <charset val="204"/>
    </font>
    <font>
      <sz val="9"/>
      <color indexed="9"/>
      <name val="Cambria"/>
      <family val="1"/>
      <charset val="204"/>
    </font>
    <font>
      <b/>
      <i/>
      <sz val="9"/>
      <color indexed="9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i/>
      <sz val="6"/>
      <name val="Cambria"/>
      <family val="1"/>
      <charset val="204"/>
      <scheme val="major"/>
    </font>
    <font>
      <i/>
      <sz val="9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9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i/>
      <sz val="6"/>
      <name val="Cambria"/>
      <family val="1"/>
      <charset val="204"/>
      <scheme val="major"/>
    </font>
    <font>
      <sz val="6"/>
      <name val="Cambria"/>
      <family val="1"/>
      <charset val="204"/>
      <scheme val="major"/>
    </font>
    <font>
      <b/>
      <sz val="6"/>
      <name val="Cambria"/>
      <family val="1"/>
      <charset val="204"/>
      <scheme val="major"/>
    </font>
    <font>
      <sz val="9"/>
      <color rgb="FFC00000"/>
      <name val="Cambria"/>
      <family val="1"/>
      <charset val="204"/>
      <scheme val="major"/>
    </font>
    <font>
      <b/>
      <sz val="9"/>
      <color rgb="FFC00000"/>
      <name val="Cambria"/>
      <family val="1"/>
      <charset val="204"/>
      <scheme val="major"/>
    </font>
    <font>
      <b/>
      <sz val="10"/>
      <color theme="0"/>
      <name val="Cambria"/>
      <family val="1"/>
      <charset val="204"/>
      <scheme val="major"/>
    </font>
    <font>
      <sz val="9"/>
      <color rgb="FFFF0000"/>
      <name val="Cambria"/>
      <family val="1"/>
      <charset val="204"/>
      <scheme val="major"/>
    </font>
    <font>
      <sz val="8"/>
      <color rgb="FFFF0000"/>
      <name val="Arial"/>
      <family val="2"/>
    </font>
    <font>
      <b/>
      <i/>
      <sz val="10"/>
      <name val="Cambria"/>
      <family val="1"/>
      <charset val="204"/>
      <scheme val="major"/>
    </font>
    <font>
      <b/>
      <sz val="9"/>
      <color theme="0"/>
      <name val="Cambria"/>
      <family val="1"/>
      <charset val="204"/>
      <scheme val="major"/>
    </font>
    <font>
      <b/>
      <i/>
      <sz val="9"/>
      <color indexed="9"/>
      <name val="Cambria"/>
      <family val="1"/>
      <charset val="204"/>
      <scheme val="major"/>
    </font>
    <font>
      <sz val="9"/>
      <color indexed="9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7">
    <xf numFmtId="0" fontId="0" fillId="0" borderId="0" xfId="0"/>
    <xf numFmtId="0" fontId="5" fillId="0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0" fontId="5" fillId="0" borderId="8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2" fontId="5" fillId="0" borderId="18" xfId="0" applyNumberFormat="1" applyFont="1" applyFill="1" applyBorder="1" applyAlignment="1">
      <alignment horizontal="right" vertical="center" wrapText="1"/>
    </xf>
    <xf numFmtId="2" fontId="5" fillId="0" borderId="19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horizontal="right" vertical="center" wrapText="1"/>
    </xf>
    <xf numFmtId="2" fontId="5" fillId="0" borderId="2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164" fontId="9" fillId="0" borderId="6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 horizontal="left" vertical="center"/>
    </xf>
    <xf numFmtId="4" fontId="5" fillId="0" borderId="25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/>
    </xf>
    <xf numFmtId="2" fontId="9" fillId="0" borderId="27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4" fontId="5" fillId="0" borderId="14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10" fillId="0" borderId="33" xfId="0" applyNumberFormat="1" applyFont="1" applyFill="1" applyBorder="1" applyAlignment="1">
      <alignment vertical="center" wrapText="1"/>
    </xf>
    <xf numFmtId="4" fontId="10" fillId="0" borderId="34" xfId="0" applyNumberFormat="1" applyFont="1" applyFill="1" applyBorder="1" applyAlignment="1">
      <alignment vertical="center" wrapText="1"/>
    </xf>
    <xf numFmtId="4" fontId="10" fillId="0" borderId="26" xfId="0" applyNumberFormat="1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vertical="center"/>
    </xf>
    <xf numFmtId="4" fontId="10" fillId="0" borderId="36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2" fontId="5" fillId="0" borderId="38" xfId="0" applyNumberFormat="1" applyFont="1" applyFill="1" applyBorder="1" applyAlignment="1">
      <alignment horizontal="right" vertical="center" wrapText="1"/>
    </xf>
    <xf numFmtId="2" fontId="5" fillId="0" borderId="27" xfId="0" applyNumberFormat="1" applyFont="1" applyFill="1" applyBorder="1" applyAlignment="1">
      <alignment horizontal="right" vertical="center" wrapText="1"/>
    </xf>
    <xf numFmtId="2" fontId="5" fillId="0" borderId="39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/>
    </xf>
    <xf numFmtId="2" fontId="5" fillId="0" borderId="40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Fill="1" applyBorder="1" applyAlignment="1">
      <alignment horizontal="right" vertical="center" wrapText="1"/>
    </xf>
    <xf numFmtId="4" fontId="5" fillId="0" borderId="41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0" fontId="8" fillId="0" borderId="42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164" fontId="5" fillId="0" borderId="16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5" fillId="0" borderId="39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4" fontId="11" fillId="0" borderId="25" xfId="0" applyNumberFormat="1" applyFont="1" applyFill="1" applyBorder="1" applyAlignment="1">
      <alignment horizontal="right" vertical="center" wrapText="1"/>
    </xf>
    <xf numFmtId="2" fontId="11" fillId="0" borderId="25" xfId="0" applyNumberFormat="1" applyFont="1" applyFill="1" applyBorder="1" applyAlignment="1">
      <alignment horizontal="right" vertical="center" wrapText="1"/>
    </xf>
    <xf numFmtId="164" fontId="11" fillId="0" borderId="25" xfId="0" applyNumberFormat="1" applyFont="1" applyFill="1" applyBorder="1" applyAlignment="1">
      <alignment horizontal="right" vertical="center" wrapText="1"/>
    </xf>
    <xf numFmtId="164" fontId="11" fillId="0" borderId="26" xfId="0" applyNumberFormat="1" applyFont="1" applyFill="1" applyBorder="1" applyAlignment="1">
      <alignment horizontal="right" vertical="center" wrapText="1"/>
    </xf>
    <xf numFmtId="4" fontId="11" fillId="0" borderId="44" xfId="0" applyNumberFormat="1" applyFont="1" applyFill="1" applyBorder="1" applyAlignment="1">
      <alignment horizontal="right" vertical="center" wrapText="1"/>
    </xf>
    <xf numFmtId="4" fontId="11" fillId="0" borderId="45" xfId="0" applyNumberFormat="1" applyFont="1" applyFill="1" applyBorder="1" applyAlignment="1">
      <alignment horizontal="right" vertical="center" wrapText="1"/>
    </xf>
    <xf numFmtId="4" fontId="11" fillId="0" borderId="46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8" fillId="0" borderId="42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right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left" vertical="center" wrapText="1"/>
    </xf>
    <xf numFmtId="4" fontId="5" fillId="0" borderId="25" xfId="0" applyNumberFormat="1" applyFont="1" applyFill="1" applyBorder="1" applyAlignment="1">
      <alignment horizontal="lef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2" fontId="9" fillId="0" borderId="25" xfId="0" applyNumberFormat="1" applyFont="1" applyFill="1" applyBorder="1" applyAlignment="1">
      <alignment horizontal="left" vertical="center" wrapText="1"/>
    </xf>
    <xf numFmtId="164" fontId="9" fillId="0" borderId="25" xfId="0" applyNumberFormat="1" applyFont="1" applyFill="1" applyBorder="1" applyAlignment="1">
      <alignment horizontal="right" vertical="center" wrapText="1"/>
    </xf>
    <xf numFmtId="164" fontId="9" fillId="0" borderId="26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2" fontId="9" fillId="0" borderId="25" xfId="0" applyNumberFormat="1" applyFont="1" applyFill="1" applyBorder="1" applyAlignment="1">
      <alignment horizontal="right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right" vertical="center" wrapText="1"/>
    </xf>
    <xf numFmtId="0" fontId="8" fillId="0" borderId="48" xfId="0" applyFont="1" applyFill="1" applyBorder="1" applyAlignment="1">
      <alignment horizontal="left" vertical="center" wrapText="1"/>
    </xf>
    <xf numFmtId="4" fontId="5" fillId="0" borderId="40" xfId="0" applyNumberFormat="1" applyFont="1" applyFill="1" applyBorder="1" applyAlignment="1">
      <alignment horizontal="right" vertical="center" wrapText="1"/>
    </xf>
    <xf numFmtId="4" fontId="5" fillId="0" borderId="49" xfId="0" applyNumberFormat="1" applyFont="1" applyFill="1" applyBorder="1" applyAlignment="1">
      <alignment horizontal="right" vertical="center" wrapText="1"/>
    </xf>
    <xf numFmtId="2" fontId="9" fillId="0" borderId="49" xfId="0" applyNumberFormat="1" applyFont="1" applyFill="1" applyBorder="1" applyAlignment="1">
      <alignment horizontal="right" vertical="center" wrapText="1"/>
    </xf>
    <xf numFmtId="164" fontId="9" fillId="0" borderId="49" xfId="0" applyNumberFormat="1" applyFont="1" applyFill="1" applyBorder="1" applyAlignment="1">
      <alignment horizontal="right" vertical="center" wrapText="1"/>
    </xf>
    <xf numFmtId="164" fontId="9" fillId="0" borderId="50" xfId="0" applyNumberFormat="1" applyFont="1" applyFill="1" applyBorder="1" applyAlignment="1">
      <alignment horizontal="right" vertical="center" wrapText="1"/>
    </xf>
    <xf numFmtId="4" fontId="5" fillId="0" borderId="38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5" fillId="0" borderId="51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Fill="1" applyBorder="1" applyAlignment="1">
      <alignment horizontal="right" vertical="center" wrapText="1"/>
    </xf>
    <xf numFmtId="164" fontId="5" fillId="0" borderId="26" xfId="0" applyNumberFormat="1" applyFont="1" applyFill="1" applyBorder="1" applyAlignment="1">
      <alignment horizontal="right" vertical="center" wrapText="1"/>
    </xf>
    <xf numFmtId="164" fontId="5" fillId="0" borderId="49" xfId="0" applyNumberFormat="1" applyFont="1" applyFill="1" applyBorder="1" applyAlignment="1">
      <alignment horizontal="right" vertical="center" wrapText="1"/>
    </xf>
    <xf numFmtId="164" fontId="5" fillId="0" borderId="50" xfId="0" applyNumberFormat="1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left" vertical="center" wrapText="1"/>
    </xf>
    <xf numFmtId="0" fontId="8" fillId="0" borderId="43" xfId="0" applyNumberFormat="1" applyFont="1" applyFill="1" applyBorder="1" applyAlignment="1">
      <alignment horizontal="left" vertical="center" wrapText="1"/>
    </xf>
    <xf numFmtId="4" fontId="11" fillId="0" borderId="25" xfId="0" applyNumberFormat="1" applyFont="1" applyFill="1" applyBorder="1" applyAlignment="1">
      <alignment horizontal="right" vertical="center"/>
    </xf>
    <xf numFmtId="164" fontId="11" fillId="0" borderId="25" xfId="0" applyNumberFormat="1" applyFont="1" applyFill="1" applyBorder="1" applyAlignment="1">
      <alignment horizontal="right" vertical="center"/>
    </xf>
    <xf numFmtId="164" fontId="11" fillId="0" borderId="26" xfId="0" applyNumberFormat="1" applyFont="1" applyFill="1" applyBorder="1" applyAlignment="1">
      <alignment horizontal="right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left" vertic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right" vertical="center"/>
    </xf>
    <xf numFmtId="4" fontId="12" fillId="0" borderId="51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25" xfId="0" applyNumberFormat="1" applyFont="1" applyFill="1" applyBorder="1" applyAlignment="1">
      <alignment horizontal="right" vertical="center" wrapText="1"/>
    </xf>
    <xf numFmtId="4" fontId="12" fillId="0" borderId="25" xfId="0" applyNumberFormat="1" applyFont="1" applyFill="1" applyBorder="1" applyAlignment="1">
      <alignment vertical="center"/>
    </xf>
    <xf numFmtId="164" fontId="12" fillId="0" borderId="25" xfId="0" applyNumberFormat="1" applyFont="1" applyFill="1" applyBorder="1" applyAlignment="1">
      <alignment horizontal="right" vertical="center"/>
    </xf>
    <xf numFmtId="164" fontId="12" fillId="0" borderId="26" xfId="0" applyNumberFormat="1" applyFont="1" applyFill="1" applyBorder="1" applyAlignment="1">
      <alignment horizontal="right" vertical="center"/>
    </xf>
    <xf numFmtId="4" fontId="12" fillId="0" borderId="27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164" fontId="5" fillId="0" borderId="25" xfId="0" applyNumberFormat="1" applyFont="1" applyFill="1" applyBorder="1" applyAlignment="1">
      <alignment horizontal="right" vertical="center"/>
    </xf>
    <xf numFmtId="164" fontId="5" fillId="0" borderId="26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horizontal="right" vertical="center" wrapText="1"/>
    </xf>
    <xf numFmtId="164" fontId="12" fillId="0" borderId="25" xfId="0" applyNumberFormat="1" applyFont="1" applyFill="1" applyBorder="1" applyAlignment="1">
      <alignment vertical="center"/>
    </xf>
    <xf numFmtId="164" fontId="12" fillId="0" borderId="26" xfId="0" applyNumberFormat="1" applyFont="1" applyFill="1" applyBorder="1" applyAlignment="1">
      <alignment vertical="center"/>
    </xf>
    <xf numFmtId="4" fontId="12" fillId="0" borderId="40" xfId="0" applyNumberFormat="1" applyFont="1" applyFill="1" applyBorder="1" applyAlignment="1">
      <alignment horizontal="right" vertical="center" wrapText="1"/>
    </xf>
    <xf numFmtId="49" fontId="12" fillId="0" borderId="47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left" vertical="center" wrapText="1"/>
    </xf>
    <xf numFmtId="4" fontId="5" fillId="0" borderId="49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vertical="center"/>
    </xf>
    <xf numFmtId="164" fontId="5" fillId="0" borderId="50" xfId="0" applyNumberFormat="1" applyFont="1" applyFill="1" applyBorder="1" applyAlignment="1">
      <alignment vertical="center"/>
    </xf>
    <xf numFmtId="0" fontId="12" fillId="0" borderId="47" xfId="0" applyNumberFormat="1" applyFont="1" applyFill="1" applyBorder="1" applyAlignment="1">
      <alignment horizontal="left" vertical="center" wrapText="1"/>
    </xf>
    <xf numFmtId="4" fontId="12" fillId="0" borderId="49" xfId="0" applyNumberFormat="1" applyFont="1" applyFill="1" applyBorder="1" applyAlignment="1">
      <alignment horizontal="right" vertical="center" wrapText="1"/>
    </xf>
    <xf numFmtId="4" fontId="12" fillId="0" borderId="49" xfId="0" applyNumberFormat="1" applyFont="1" applyFill="1" applyBorder="1" applyAlignment="1">
      <alignment vertical="center"/>
    </xf>
    <xf numFmtId="164" fontId="12" fillId="0" borderId="49" xfId="0" applyNumberFormat="1" applyFont="1" applyFill="1" applyBorder="1" applyAlignment="1">
      <alignment vertical="center"/>
    </xf>
    <xf numFmtId="164" fontId="12" fillId="0" borderId="50" xfId="0" applyNumberFormat="1" applyFont="1" applyFill="1" applyBorder="1" applyAlignment="1">
      <alignment vertical="center"/>
    </xf>
    <xf numFmtId="4" fontId="12" fillId="0" borderId="38" xfId="0" applyNumberFormat="1" applyFont="1" applyFill="1" applyBorder="1" applyAlignment="1">
      <alignment horizontal="right" vertical="center" wrapText="1"/>
    </xf>
    <xf numFmtId="4" fontId="12" fillId="0" borderId="21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Fill="1" applyBorder="1" applyAlignment="1">
      <alignment horizontal="right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vertical="center"/>
    </xf>
    <xf numFmtId="164" fontId="11" fillId="0" borderId="25" xfId="0" applyNumberFormat="1" applyFont="1" applyFill="1" applyBorder="1" applyAlignment="1">
      <alignment vertical="center"/>
    </xf>
    <xf numFmtId="164" fontId="11" fillId="0" borderId="26" xfId="0" applyNumberFormat="1" applyFont="1" applyFill="1" applyBorder="1" applyAlignment="1">
      <alignment vertical="center"/>
    </xf>
    <xf numFmtId="1" fontId="5" fillId="0" borderId="23" xfId="0" applyNumberFormat="1" applyFont="1" applyFill="1" applyBorder="1" applyAlignment="1">
      <alignment horizontal="right" vertical="center" wrapText="1"/>
    </xf>
    <xf numFmtId="1" fontId="8" fillId="0" borderId="24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" fontId="5" fillId="0" borderId="25" xfId="0" applyNumberFormat="1" applyFont="1" applyFill="1" applyBorder="1" applyAlignment="1">
      <alignment horizontal="right" vertical="center" wrapText="1"/>
    </xf>
    <xf numFmtId="0" fontId="12" fillId="0" borderId="25" xfId="0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vertical="center"/>
    </xf>
    <xf numFmtId="4" fontId="11" fillId="0" borderId="36" xfId="0" applyNumberFormat="1" applyFont="1" applyFill="1" applyBorder="1" applyAlignment="1">
      <alignment horizontal="right" vertical="center" wrapText="1"/>
    </xf>
    <xf numFmtId="0" fontId="11" fillId="0" borderId="26" xfId="0" applyNumberFormat="1" applyFont="1" applyFill="1" applyBorder="1" applyAlignment="1">
      <alignment vertical="center" wrapText="1"/>
    </xf>
    <xf numFmtId="49" fontId="11" fillId="0" borderId="52" xfId="0" applyNumberFormat="1" applyFont="1" applyFill="1" applyBorder="1" applyAlignment="1">
      <alignment horizontal="center" vertical="center"/>
    </xf>
    <xf numFmtId="0" fontId="11" fillId="0" borderId="52" xfId="0" applyNumberFormat="1" applyFont="1" applyFill="1" applyBorder="1" applyAlignment="1">
      <alignment vertical="center" wrapText="1"/>
    </xf>
    <xf numFmtId="0" fontId="8" fillId="0" borderId="53" xfId="0" applyNumberFormat="1" applyFont="1" applyFill="1" applyBorder="1" applyAlignment="1">
      <alignment horizontal="left" vertical="center" wrapText="1"/>
    </xf>
    <xf numFmtId="4" fontId="11" fillId="0" borderId="51" xfId="0" applyNumberFormat="1" applyFont="1" applyFill="1" applyBorder="1" applyAlignment="1">
      <alignment horizontal="right" vertical="center" wrapText="1"/>
    </xf>
    <xf numFmtId="2" fontId="11" fillId="0" borderId="51" xfId="0" applyNumberFormat="1" applyFont="1" applyFill="1" applyBorder="1" applyAlignment="1">
      <alignment horizontal="right" vertical="center" wrapText="1"/>
    </xf>
    <xf numFmtId="4" fontId="11" fillId="0" borderId="51" xfId="0" applyNumberFormat="1" applyFont="1" applyFill="1" applyBorder="1" applyAlignment="1">
      <alignment vertical="center"/>
    </xf>
    <xf numFmtId="164" fontId="11" fillId="0" borderId="51" xfId="0" applyNumberFormat="1" applyFont="1" applyFill="1" applyBorder="1" applyAlignment="1">
      <alignment vertical="center"/>
    </xf>
    <xf numFmtId="164" fontId="11" fillId="0" borderId="52" xfId="0" applyNumberFormat="1" applyFont="1" applyFill="1" applyBorder="1" applyAlignment="1">
      <alignment vertical="center"/>
    </xf>
    <xf numFmtId="4" fontId="11" fillId="0" borderId="54" xfId="0" applyNumberFormat="1" applyFont="1" applyFill="1" applyBorder="1" applyAlignment="1">
      <alignment horizontal="right" vertical="center" wrapText="1"/>
    </xf>
    <xf numFmtId="4" fontId="11" fillId="0" borderId="55" xfId="0" applyNumberFormat="1" applyFont="1" applyFill="1" applyBorder="1" applyAlignment="1">
      <alignment horizontal="right" vertical="center" wrapText="1"/>
    </xf>
    <xf numFmtId="4" fontId="11" fillId="0" borderId="56" xfId="0" applyNumberFormat="1" applyFont="1" applyFill="1" applyBorder="1" applyAlignment="1">
      <alignment horizontal="right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right" vertical="center" wrapText="1"/>
    </xf>
    <xf numFmtId="0" fontId="11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Fill="1" applyBorder="1" applyAlignment="1">
      <alignment horizontal="right" vertical="center" wrapText="1"/>
    </xf>
    <xf numFmtId="4" fontId="11" fillId="0" borderId="39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0" fontId="5" fillId="0" borderId="25" xfId="0" applyNumberFormat="1" applyFont="1" applyFill="1" applyBorder="1" applyAlignment="1">
      <alignment horizontal="right" vertical="center" wrapText="1"/>
    </xf>
    <xf numFmtId="165" fontId="5" fillId="0" borderId="25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2" fontId="5" fillId="0" borderId="25" xfId="0" applyNumberFormat="1" applyFont="1" applyFill="1" applyBorder="1" applyAlignment="1">
      <alignment horizontal="right" vertical="center" wrapText="1"/>
    </xf>
    <xf numFmtId="4" fontId="5" fillId="0" borderId="57" xfId="0" applyNumberFormat="1" applyFont="1" applyFill="1" applyBorder="1" applyAlignment="1">
      <alignment horizontal="right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14" xfId="0" applyNumberFormat="1" applyFont="1" applyFill="1" applyBorder="1" applyAlignment="1">
      <alignment horizontal="right" vertical="center" wrapText="1"/>
    </xf>
    <xf numFmtId="164" fontId="11" fillId="0" borderId="14" xfId="0" applyNumberFormat="1" applyFont="1" applyFill="1" applyBorder="1" applyAlignment="1">
      <alignment horizontal="right" vertical="center" wrapText="1"/>
    </xf>
    <xf numFmtId="164" fontId="11" fillId="0" borderId="13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9" fontId="11" fillId="0" borderId="23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23" xfId="0" applyNumberFormat="1" applyFont="1" applyFill="1" applyBorder="1" applyAlignment="1">
      <alignment horizontal="right" vertical="center" wrapText="1"/>
    </xf>
    <xf numFmtId="4" fontId="11" fillId="0" borderId="27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0" fontId="13" fillId="0" borderId="42" xfId="0" applyNumberFormat="1" applyFont="1" applyFill="1" applyBorder="1" applyAlignment="1">
      <alignment horizontal="left" vertical="center" wrapText="1"/>
    </xf>
    <xf numFmtId="49" fontId="12" fillId="0" borderId="58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left" vertical="center" wrapText="1"/>
    </xf>
    <xf numFmtId="4" fontId="5" fillId="0" borderId="59" xfId="0" applyNumberFormat="1" applyFont="1" applyFill="1" applyBorder="1" applyAlignment="1">
      <alignment horizontal="right" vertical="center" wrapText="1"/>
    </xf>
    <xf numFmtId="4" fontId="5" fillId="0" borderId="35" xfId="0" applyNumberFormat="1" applyFont="1" applyFill="1" applyBorder="1" applyAlignment="1">
      <alignment horizontal="right" vertical="center" wrapText="1"/>
    </xf>
    <xf numFmtId="0" fontId="5" fillId="0" borderId="35" xfId="0" applyNumberFormat="1" applyFont="1" applyFill="1" applyBorder="1" applyAlignment="1">
      <alignment horizontal="right" vertical="center" wrapText="1"/>
    </xf>
    <xf numFmtId="164" fontId="5" fillId="0" borderId="35" xfId="0" applyNumberFormat="1" applyFont="1" applyFill="1" applyBorder="1" applyAlignment="1">
      <alignment horizontal="right" vertical="center" wrapText="1"/>
    </xf>
    <xf numFmtId="164" fontId="5" fillId="0" borderId="58" xfId="0" applyNumberFormat="1" applyFont="1" applyFill="1" applyBorder="1" applyAlignment="1">
      <alignment horizontal="right" vertical="center" wrapText="1"/>
    </xf>
    <xf numFmtId="4" fontId="11" fillId="0" borderId="35" xfId="0" applyNumberFormat="1" applyFont="1" applyFill="1" applyBorder="1" applyAlignment="1">
      <alignment horizontal="right" vertical="center" wrapText="1"/>
    </xf>
    <xf numFmtId="4" fontId="5" fillId="0" borderId="60" xfId="0" applyNumberFormat="1" applyFont="1" applyFill="1" applyBorder="1" applyAlignment="1">
      <alignment horizontal="right" vertical="center" wrapText="1"/>
    </xf>
    <xf numFmtId="4" fontId="5" fillId="0" borderId="61" xfId="0" applyNumberFormat="1" applyFont="1" applyFill="1" applyBorder="1" applyAlignment="1">
      <alignment horizontal="right" vertical="center" wrapText="1"/>
    </xf>
    <xf numFmtId="0" fontId="11" fillId="0" borderId="25" xfId="0" applyNumberFormat="1" applyFont="1" applyFill="1" applyBorder="1" applyAlignment="1">
      <alignment horizontal="right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right" vertical="center" wrapText="1"/>
    </xf>
    <xf numFmtId="164" fontId="12" fillId="0" borderId="3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4" fontId="12" fillId="0" borderId="57" xfId="0" applyNumberFormat="1" applyFont="1" applyFill="1" applyBorder="1" applyAlignment="1">
      <alignment horizontal="right" vertical="center" wrapText="1"/>
    </xf>
    <xf numFmtId="0" fontId="12" fillId="0" borderId="25" xfId="0" applyNumberFormat="1" applyFont="1" applyFill="1" applyBorder="1" applyAlignment="1">
      <alignment horizontal="right" vertical="center" wrapText="1"/>
    </xf>
    <xf numFmtId="164" fontId="12" fillId="0" borderId="25" xfId="0" applyNumberFormat="1" applyFont="1" applyFill="1" applyBorder="1" applyAlignment="1">
      <alignment horizontal="right" vertical="center" wrapText="1"/>
    </xf>
    <xf numFmtId="164" fontId="12" fillId="0" borderId="26" xfId="0" applyNumberFormat="1" applyFont="1" applyFill="1" applyBorder="1" applyAlignment="1">
      <alignment horizontal="right" vertical="center" wrapText="1"/>
    </xf>
    <xf numFmtId="0" fontId="5" fillId="0" borderId="49" xfId="0" applyNumberFormat="1" applyFont="1" applyFill="1" applyBorder="1" applyAlignment="1">
      <alignment horizontal="right" vertical="center" wrapText="1"/>
    </xf>
    <xf numFmtId="4" fontId="11" fillId="0" borderId="40" xfId="0" applyNumberFormat="1" applyFont="1" applyFill="1" applyBorder="1" applyAlignment="1">
      <alignment horizontal="right" vertical="center" wrapText="1"/>
    </xf>
    <xf numFmtId="2" fontId="11" fillId="0" borderId="44" xfId="0" applyNumberFormat="1" applyFont="1" applyFill="1" applyBorder="1" applyAlignment="1">
      <alignment horizontal="right" vertical="center" wrapText="1"/>
    </xf>
    <xf numFmtId="2" fontId="11" fillId="0" borderId="45" xfId="0" applyNumberFormat="1" applyFont="1" applyFill="1" applyBorder="1" applyAlignment="1">
      <alignment horizontal="right" vertical="center" wrapText="1"/>
    </xf>
    <xf numFmtId="2" fontId="11" fillId="0" borderId="46" xfId="0" applyNumberFormat="1" applyFont="1" applyFill="1" applyBorder="1" applyAlignment="1">
      <alignment horizontal="right" vertical="center" wrapText="1"/>
    </xf>
    <xf numFmtId="49" fontId="12" fillId="0" borderId="51" xfId="0" applyNumberFormat="1" applyFont="1" applyFill="1" applyBorder="1" applyAlignment="1">
      <alignment horizontal="center" vertical="center"/>
    </xf>
    <xf numFmtId="0" fontId="12" fillId="0" borderId="51" xfId="0" applyNumberFormat="1" applyFont="1" applyFill="1" applyBorder="1" applyAlignment="1">
      <alignment horizontal="left"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2" fontId="12" fillId="0" borderId="3" xfId="0" applyNumberFormat="1" applyFont="1" applyFill="1" applyBorder="1" applyAlignment="1">
      <alignment horizontal="right" vertical="center" wrapText="1"/>
    </xf>
    <xf numFmtId="2" fontId="12" fillId="0" borderId="51" xfId="0" applyNumberFormat="1" applyFont="1" applyFill="1" applyBorder="1" applyAlignment="1">
      <alignment horizontal="right" vertical="center" wrapText="1"/>
    </xf>
    <xf numFmtId="2" fontId="12" fillId="0" borderId="54" xfId="0" applyNumberFormat="1" applyFont="1" applyFill="1" applyBorder="1" applyAlignment="1">
      <alignment horizontal="right" vertical="center" wrapText="1"/>
    </xf>
    <xf numFmtId="2" fontId="12" fillId="0" borderId="55" xfId="0" applyNumberFormat="1" applyFont="1" applyFill="1" applyBorder="1" applyAlignment="1">
      <alignment horizontal="right" vertical="center" wrapText="1"/>
    </xf>
    <xf numFmtId="2" fontId="12" fillId="0" borderId="56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2" fontId="12" fillId="0" borderId="27" xfId="0" applyNumberFormat="1" applyFont="1" applyFill="1" applyBorder="1" applyAlignment="1">
      <alignment horizontal="right" vertical="center" wrapText="1"/>
    </xf>
    <xf numFmtId="2" fontId="12" fillId="0" borderId="5" xfId="0" applyNumberFormat="1" applyFont="1" applyFill="1" applyBorder="1" applyAlignment="1">
      <alignment horizontal="right" vertical="center" wrapText="1"/>
    </xf>
    <xf numFmtId="2" fontId="12" fillId="0" borderId="6" xfId="0" applyNumberFormat="1" applyFont="1" applyFill="1" applyBorder="1" applyAlignment="1">
      <alignment horizontal="right" vertical="center" wrapText="1"/>
    </xf>
    <xf numFmtId="0" fontId="14" fillId="0" borderId="24" xfId="0" applyNumberFormat="1" applyFont="1" applyFill="1" applyBorder="1" applyAlignment="1">
      <alignment horizontal="lef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0" fontId="15" fillId="0" borderId="42" xfId="0" applyNumberFormat="1" applyFont="1" applyFill="1" applyBorder="1" applyAlignment="1">
      <alignment horizontal="left" vertical="center" wrapText="1"/>
    </xf>
    <xf numFmtId="4" fontId="12" fillId="0" borderId="4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vertical="center" wrapText="1"/>
    </xf>
    <xf numFmtId="2" fontId="12" fillId="0" borderId="17" xfId="0" applyNumberFormat="1" applyFont="1" applyFill="1" applyBorder="1" applyAlignment="1">
      <alignment horizontal="right" vertical="center" wrapText="1"/>
    </xf>
    <xf numFmtId="2" fontId="12" fillId="0" borderId="39" xfId="0" applyNumberFormat="1" applyFont="1" applyFill="1" applyBorder="1" applyAlignment="1">
      <alignment horizontal="right" vertical="center" wrapText="1"/>
    </xf>
    <xf numFmtId="2" fontId="12" fillId="0" borderId="18" xfId="0" applyNumberFormat="1" applyFont="1" applyFill="1" applyBorder="1" applyAlignment="1">
      <alignment horizontal="right" vertical="center" wrapText="1"/>
    </xf>
    <xf numFmtId="2" fontId="12" fillId="0" borderId="19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25" xfId="0" applyNumberFormat="1" applyFont="1" applyFill="1" applyBorder="1" applyAlignment="1">
      <alignment horizontal="left" vertical="center"/>
    </xf>
    <xf numFmtId="4" fontId="12" fillId="0" borderId="25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12" fillId="0" borderId="27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" fontId="5" fillId="0" borderId="49" xfId="0" applyNumberFormat="1" applyFont="1" applyFill="1" applyBorder="1" applyAlignment="1">
      <alignment horizontal="left" vertical="center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left" vertical="center" wrapText="1"/>
    </xf>
    <xf numFmtId="0" fontId="8" fillId="0" borderId="63" xfId="0" applyNumberFormat="1" applyFont="1" applyFill="1" applyBorder="1" applyAlignment="1">
      <alignment horizontal="left" vertical="center" wrapText="1"/>
    </xf>
    <xf numFmtId="4" fontId="5" fillId="0" borderId="35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58" xfId="0" applyNumberFormat="1" applyFont="1" applyFill="1" applyBorder="1" applyAlignment="1">
      <alignment vertical="center"/>
    </xf>
    <xf numFmtId="4" fontId="5" fillId="0" borderId="60" xfId="0" applyNumberFormat="1" applyFont="1" applyFill="1" applyBorder="1" applyAlignment="1">
      <alignment horizontal="right" vertical="center"/>
    </xf>
    <xf numFmtId="4" fontId="5" fillId="0" borderId="61" xfId="0" applyNumberFormat="1" applyFont="1" applyFill="1" applyBorder="1" applyAlignment="1">
      <alignment horizontal="right" vertical="center"/>
    </xf>
    <xf numFmtId="4" fontId="5" fillId="0" borderId="64" xfId="0" applyNumberFormat="1" applyFont="1" applyFill="1" applyBorder="1" applyAlignment="1">
      <alignment horizontal="right" vertical="center"/>
    </xf>
    <xf numFmtId="4" fontId="11" fillId="0" borderId="44" xfId="0" applyNumberFormat="1" applyFont="1" applyFill="1" applyBorder="1" applyAlignment="1">
      <alignment horizontal="right" vertical="center"/>
    </xf>
    <xf numFmtId="4" fontId="11" fillId="0" borderId="45" xfId="0" applyNumberFormat="1" applyFont="1" applyFill="1" applyBorder="1" applyAlignment="1">
      <alignment horizontal="right" vertical="center"/>
    </xf>
    <xf numFmtId="4" fontId="11" fillId="0" borderId="46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4" fontId="11" fillId="0" borderId="49" xfId="0" applyNumberFormat="1" applyFont="1" applyFill="1" applyBorder="1" applyAlignment="1">
      <alignment horizontal="right" vertical="center"/>
    </xf>
    <xf numFmtId="49" fontId="11" fillId="0" borderId="47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 wrapText="1"/>
    </xf>
    <xf numFmtId="4" fontId="11" fillId="0" borderId="40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27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9" fontId="9" fillId="0" borderId="47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right" vertical="center"/>
    </xf>
    <xf numFmtId="166" fontId="9" fillId="0" borderId="25" xfId="0" applyNumberFormat="1" applyFont="1" applyFill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25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164" fontId="9" fillId="0" borderId="26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166" fontId="9" fillId="0" borderId="27" xfId="0" applyNumberFormat="1" applyFont="1" applyFill="1" applyBorder="1" applyAlignment="1">
      <alignment horizontal="right" vertical="center"/>
    </xf>
    <xf numFmtId="166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165" fontId="11" fillId="0" borderId="27" xfId="0" applyNumberFormat="1" applyFont="1" applyFill="1" applyBorder="1" applyAlignment="1">
      <alignment horizontal="right" vertical="center"/>
    </xf>
    <xf numFmtId="165" fontId="11" fillId="0" borderId="5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4" fontId="10" fillId="0" borderId="2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right" vertical="center" wrapText="1"/>
    </xf>
    <xf numFmtId="4" fontId="10" fillId="0" borderId="65" xfId="0" applyNumberFormat="1" applyFont="1" applyFill="1" applyBorder="1" applyAlignment="1">
      <alignment vertical="center" wrapText="1"/>
    </xf>
    <xf numFmtId="4" fontId="10" fillId="0" borderId="66" xfId="0" applyNumberFormat="1" applyFont="1" applyFill="1" applyBorder="1" applyAlignment="1">
      <alignment vertical="center" wrapText="1"/>
    </xf>
    <xf numFmtId="4" fontId="10" fillId="0" borderId="67" xfId="0" applyNumberFormat="1" applyFont="1" applyFill="1" applyBorder="1" applyAlignment="1">
      <alignment vertical="center" wrapText="1"/>
    </xf>
    <xf numFmtId="4" fontId="10" fillId="0" borderId="68" xfId="0" applyNumberFormat="1" applyFont="1" applyFill="1" applyBorder="1" applyAlignment="1">
      <alignment vertical="center" wrapText="1"/>
    </xf>
    <xf numFmtId="4" fontId="6" fillId="0" borderId="67" xfId="0" applyNumberFormat="1" applyFont="1" applyFill="1" applyBorder="1" applyAlignment="1">
      <alignment horizontal="center" vertical="center" wrapText="1"/>
    </xf>
    <xf numFmtId="4" fontId="6" fillId="0" borderId="68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6" fillId="0" borderId="69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vertical="center" wrapText="1"/>
    </xf>
    <xf numFmtId="4" fontId="6" fillId="0" borderId="37" xfId="0" applyNumberFormat="1" applyFont="1" applyFill="1" applyBorder="1" applyAlignment="1">
      <alignment vertical="center" wrapText="1"/>
    </xf>
    <xf numFmtId="4" fontId="6" fillId="0" borderId="70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43" xfId="0" applyNumberFormat="1" applyFont="1" applyFill="1" applyBorder="1" applyAlignment="1">
      <alignment horizontal="left" vertical="center" wrapText="1"/>
    </xf>
    <xf numFmtId="0" fontId="13" fillId="0" borderId="53" xfId="0" applyNumberFormat="1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6" fillId="0" borderId="43" xfId="0" applyNumberFormat="1" applyFont="1" applyFill="1" applyBorder="1" applyAlignment="1">
      <alignment horizontal="center" vertical="center" wrapText="1"/>
    </xf>
    <xf numFmtId="4" fontId="6" fillId="0" borderId="45" xfId="0" applyNumberFormat="1" applyFont="1" applyFill="1" applyBorder="1" applyAlignment="1">
      <alignment horizontal="center" vertical="center" wrapText="1"/>
    </xf>
    <xf numFmtId="4" fontId="6" fillId="0" borderId="46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71" xfId="0" applyNumberFormat="1" applyFont="1" applyFill="1" applyBorder="1" applyAlignment="1">
      <alignment horizontal="center" vertical="center" wrapText="1"/>
    </xf>
    <xf numFmtId="4" fontId="6" fillId="0" borderId="7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9" fillId="0" borderId="46" xfId="0" applyNumberFormat="1" applyFont="1" applyFill="1" applyBorder="1" applyAlignment="1">
      <alignment horizontal="right" vertical="center" wrapText="1"/>
    </xf>
    <xf numFmtId="4" fontId="11" fillId="0" borderId="73" xfId="0" applyNumberFormat="1" applyFont="1" applyFill="1" applyBorder="1" applyAlignment="1">
      <alignment horizontal="right" vertical="center" wrapText="1"/>
    </xf>
    <xf numFmtId="164" fontId="11" fillId="0" borderId="74" xfId="0" applyNumberFormat="1" applyFont="1" applyFill="1" applyBorder="1" applyAlignment="1">
      <alignment horizontal="center" vertical="center" wrapText="1"/>
    </xf>
    <xf numFmtId="164" fontId="11" fillId="0" borderId="74" xfId="0" applyNumberFormat="1" applyFont="1" applyFill="1" applyBorder="1" applyAlignment="1">
      <alignment horizontal="right" vertical="center" wrapText="1"/>
    </xf>
    <xf numFmtId="4" fontId="11" fillId="0" borderId="75" xfId="0" applyNumberFormat="1" applyFont="1" applyFill="1" applyBorder="1" applyAlignment="1">
      <alignment horizontal="right" vertical="center" wrapText="1"/>
    </xf>
    <xf numFmtId="4" fontId="11" fillId="0" borderId="26" xfId="0" applyNumberFormat="1" applyFont="1" applyFill="1" applyBorder="1" applyAlignment="1">
      <alignment horizontal="right" vertical="center" wrapText="1"/>
    </xf>
    <xf numFmtId="164" fontId="11" fillId="0" borderId="46" xfId="0" applyNumberFormat="1" applyFont="1" applyFill="1" applyBorder="1" applyAlignment="1">
      <alignment horizontal="right" vertical="center" wrapText="1"/>
    </xf>
    <xf numFmtId="4" fontId="5" fillId="0" borderId="36" xfId="0" applyNumberFormat="1" applyFont="1" applyFill="1" applyBorder="1" applyAlignment="1">
      <alignment horizontal="right" vertical="center" wrapText="1"/>
    </xf>
    <xf numFmtId="4" fontId="11" fillId="0" borderId="43" xfId="0" applyNumberFormat="1" applyFont="1" applyFill="1" applyBorder="1" applyAlignment="1">
      <alignment horizontal="right" vertical="center" wrapText="1"/>
    </xf>
    <xf numFmtId="0" fontId="11" fillId="0" borderId="36" xfId="0" applyFont="1" applyFill="1" applyBorder="1" applyAlignment="1">
      <alignment horizontal="center" vertical="center" wrapText="1"/>
    </xf>
    <xf numFmtId="2" fontId="11" fillId="0" borderId="39" xfId="0" applyNumberFormat="1" applyFont="1" applyFill="1" applyBorder="1" applyAlignment="1">
      <alignment horizontal="right" vertical="center" wrapText="1"/>
    </xf>
    <xf numFmtId="164" fontId="9" fillId="0" borderId="19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164" fontId="5" fillId="0" borderId="76" xfId="0" applyNumberFormat="1" applyFont="1" applyFill="1" applyBorder="1" applyAlignment="1">
      <alignment horizontal="center" vertical="center" wrapText="1"/>
    </xf>
    <xf numFmtId="164" fontId="5" fillId="0" borderId="76" xfId="0" applyNumberFormat="1" applyFont="1" applyFill="1" applyBorder="1" applyAlignment="1">
      <alignment horizontal="right" vertical="center" wrapText="1"/>
    </xf>
    <xf numFmtId="4" fontId="5" fillId="0" borderId="77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164" fontId="5" fillId="0" borderId="19" xfId="0" applyNumberFormat="1" applyFont="1" applyFill="1" applyBorder="1" applyAlignment="1">
      <alignment horizontal="right" vertical="center" wrapText="1"/>
    </xf>
    <xf numFmtId="4" fontId="5" fillId="0" borderId="42" xfId="0" applyNumberFormat="1" applyFont="1" applyFill="1" applyBorder="1" applyAlignment="1">
      <alignment horizontal="right" vertical="center" wrapText="1"/>
    </xf>
    <xf numFmtId="2" fontId="11" fillId="0" borderId="27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>
      <alignment horizontal="right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right" vertical="center" wrapText="1"/>
    </xf>
    <xf numFmtId="4" fontId="5" fillId="0" borderId="31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2" fontId="11" fillId="0" borderId="38" xfId="0" applyNumberFormat="1" applyFont="1" applyFill="1" applyBorder="1" applyAlignment="1">
      <alignment horizontal="right" vertical="center" wrapText="1"/>
    </xf>
    <xf numFmtId="164" fontId="9" fillId="0" borderId="22" xfId="0" applyNumberFormat="1" applyFont="1" applyFill="1" applyBorder="1" applyAlignment="1">
      <alignment horizontal="right" vertical="center" wrapText="1"/>
    </xf>
    <xf numFmtId="4" fontId="5" fillId="0" borderId="78" xfId="0" applyNumberFormat="1" applyFont="1" applyFill="1" applyBorder="1" applyAlignment="1">
      <alignment horizontal="right" vertical="center" wrapText="1"/>
    </xf>
    <xf numFmtId="164" fontId="5" fillId="0" borderId="79" xfId="0" applyNumberFormat="1" applyFont="1" applyFill="1" applyBorder="1" applyAlignment="1">
      <alignment horizontal="center" vertical="center" wrapText="1"/>
    </xf>
    <xf numFmtId="164" fontId="5" fillId="0" borderId="79" xfId="0" applyNumberFormat="1" applyFont="1" applyFill="1" applyBorder="1" applyAlignment="1">
      <alignment horizontal="right" vertical="center" wrapText="1"/>
    </xf>
    <xf numFmtId="4" fontId="5" fillId="0" borderId="80" xfId="0" applyNumberFormat="1" applyFont="1" applyFill="1" applyBorder="1" applyAlignment="1">
      <alignment horizontal="right" vertical="center" wrapText="1"/>
    </xf>
    <xf numFmtId="4" fontId="5" fillId="0" borderId="47" xfId="0" applyNumberFormat="1" applyFont="1" applyFill="1" applyBorder="1" applyAlignment="1">
      <alignment horizontal="right" vertical="center" wrapText="1"/>
    </xf>
    <xf numFmtId="164" fontId="5" fillId="0" borderId="22" xfId="0" applyNumberFormat="1" applyFont="1" applyFill="1" applyBorder="1" applyAlignment="1">
      <alignment horizontal="right" vertical="center" wrapText="1"/>
    </xf>
    <xf numFmtId="4" fontId="5" fillId="0" borderId="48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right" vertical="center" wrapText="1"/>
    </xf>
    <xf numFmtId="164" fontId="11" fillId="0" borderId="46" xfId="0" applyNumberFormat="1" applyFont="1" applyFill="1" applyBorder="1" applyAlignment="1">
      <alignment horizontal="right" vertical="center"/>
    </xf>
    <xf numFmtId="4" fontId="11" fillId="0" borderId="81" xfId="0" applyNumberFormat="1" applyFont="1" applyFill="1" applyBorder="1" applyAlignment="1">
      <alignment horizontal="right" vertical="center"/>
    </xf>
    <xf numFmtId="164" fontId="11" fillId="0" borderId="74" xfId="0" applyNumberFormat="1" applyFont="1" applyFill="1" applyBorder="1" applyAlignment="1">
      <alignment horizontal="right" vertical="center"/>
    </xf>
    <xf numFmtId="4" fontId="11" fillId="0" borderId="81" xfId="0" applyNumberFormat="1" applyFont="1" applyFill="1" applyBorder="1" applyAlignment="1">
      <alignment vertical="center"/>
    </xf>
    <xf numFmtId="4" fontId="11" fillId="0" borderId="26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36" xfId="0" applyFont="1" applyFill="1" applyBorder="1"/>
    <xf numFmtId="164" fontId="11" fillId="0" borderId="19" xfId="0" applyNumberFormat="1" applyFont="1" applyFill="1" applyBorder="1" applyAlignment="1">
      <alignment horizontal="right" vertical="center"/>
    </xf>
    <xf numFmtId="4" fontId="12" fillId="0" borderId="20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vertical="center"/>
    </xf>
    <xf numFmtId="164" fontId="11" fillId="0" borderId="76" xfId="0" applyNumberFormat="1" applyFont="1" applyFill="1" applyBorder="1" applyAlignment="1">
      <alignment horizontal="center" vertical="center" wrapText="1"/>
    </xf>
    <xf numFmtId="4" fontId="12" fillId="0" borderId="82" xfId="0" applyNumberFormat="1" applyFont="1" applyFill="1" applyBorder="1" applyAlignment="1">
      <alignment vertical="center"/>
    </xf>
    <xf numFmtId="4" fontId="12" fillId="0" borderId="18" xfId="0" applyNumberFormat="1" applyFont="1" applyFill="1" applyBorder="1" applyAlignment="1">
      <alignment vertical="center"/>
    </xf>
    <xf numFmtId="164" fontId="12" fillId="0" borderId="76" xfId="0" applyNumberFormat="1" applyFont="1" applyFill="1" applyBorder="1" applyAlignment="1">
      <alignment vertical="center"/>
    </xf>
    <xf numFmtId="4" fontId="12" fillId="0" borderId="77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vertical="center"/>
    </xf>
    <xf numFmtId="164" fontId="12" fillId="0" borderId="19" xfId="0" applyNumberFormat="1" applyFont="1" applyFill="1" applyBorder="1" applyAlignment="1">
      <alignment vertical="center"/>
    </xf>
    <xf numFmtId="4" fontId="12" fillId="0" borderId="42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164" fontId="9" fillId="0" borderId="6" xfId="0" applyNumberFormat="1" applyFont="1" applyFill="1" applyBorder="1" applyAlignment="1">
      <alignment horizontal="right" vertical="center"/>
    </xf>
    <xf numFmtId="4" fontId="12" fillId="0" borderId="28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vertical="center"/>
    </xf>
    <xf numFmtId="164" fontId="11" fillId="0" borderId="29" xfId="0" applyNumberFormat="1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164" fontId="12" fillId="0" borderId="29" xfId="0" applyNumberFormat="1" applyFont="1" applyFill="1" applyBorder="1" applyAlignment="1">
      <alignment vertical="center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23" xfId="0" applyNumberFormat="1" applyFont="1" applyFill="1" applyBorder="1" applyAlignment="1">
      <alignment vertical="center"/>
    </xf>
    <xf numFmtId="164" fontId="12" fillId="0" borderId="6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horizontal="right" vertical="center" wrapText="1"/>
    </xf>
    <xf numFmtId="164" fontId="11" fillId="0" borderId="6" xfId="0" applyNumberFormat="1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164" fontId="11" fillId="0" borderId="79" xfId="0" applyNumberFormat="1" applyFont="1" applyFill="1" applyBorder="1" applyAlignment="1">
      <alignment horizontal="center" vertical="center" wrapText="1"/>
    </xf>
    <xf numFmtId="4" fontId="5" fillId="0" borderId="83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4" fontId="5" fillId="0" borderId="79" xfId="0" applyNumberFormat="1" applyFont="1" applyFill="1" applyBorder="1" applyAlignment="1">
      <alignment vertical="center"/>
    </xf>
    <xf numFmtId="4" fontId="5" fillId="0" borderId="47" xfId="0" applyNumberFormat="1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164" fontId="11" fillId="0" borderId="22" xfId="0" applyNumberFormat="1" applyFont="1" applyFill="1" applyBorder="1" applyAlignment="1">
      <alignment vertical="center"/>
    </xf>
    <xf numFmtId="4" fontId="12" fillId="0" borderId="78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vertical="center"/>
    </xf>
    <xf numFmtId="4" fontId="12" fillId="0" borderId="83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164" fontId="12" fillId="0" borderId="79" xfId="0" applyNumberFormat="1" applyFont="1" applyFill="1" applyBorder="1" applyAlignment="1">
      <alignment vertical="center"/>
    </xf>
    <xf numFmtId="4" fontId="12" fillId="0" borderId="80" xfId="0" applyNumberFormat="1" applyFont="1" applyFill="1" applyBorder="1" applyAlignment="1">
      <alignment horizontal="right" vertical="center" wrapText="1"/>
    </xf>
    <xf numFmtId="4" fontId="12" fillId="0" borderId="47" xfId="0" applyNumberFormat="1" applyFont="1" applyFill="1" applyBorder="1" applyAlignment="1">
      <alignment vertical="center"/>
    </xf>
    <xf numFmtId="4" fontId="12" fillId="0" borderId="40" xfId="0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164" fontId="12" fillId="0" borderId="22" xfId="0" applyNumberFormat="1" applyFont="1" applyFill="1" applyBorder="1" applyAlignment="1">
      <alignment vertical="center"/>
    </xf>
    <xf numFmtId="4" fontId="12" fillId="0" borderId="48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Fill="1" applyBorder="1" applyAlignment="1">
      <alignment vertical="center"/>
    </xf>
    <xf numFmtId="4" fontId="12" fillId="0" borderId="20" xfId="0" applyNumberFormat="1" applyFont="1" applyFill="1" applyBorder="1" applyAlignment="1">
      <alignment horizontal="left" vertical="center"/>
    </xf>
    <xf numFmtId="164" fontId="12" fillId="0" borderId="76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/>
    </xf>
    <xf numFmtId="4" fontId="12" fillId="0" borderId="77" xfId="0" applyNumberFormat="1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vertical="center"/>
    </xf>
    <xf numFmtId="4" fontId="12" fillId="0" borderId="42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 vertical="center"/>
    </xf>
    <xf numFmtId="2" fontId="9" fillId="0" borderId="38" xfId="0" applyNumberFormat="1" applyFont="1" applyFill="1" applyBorder="1" applyAlignment="1">
      <alignment horizontal="right" vertical="center" wrapText="1"/>
    </xf>
    <xf numFmtId="164" fontId="9" fillId="0" borderId="79" xfId="0" applyNumberFormat="1" applyFont="1" applyFill="1" applyBorder="1" applyAlignment="1">
      <alignment horizontal="center" vertical="center" wrapText="1"/>
    </xf>
    <xf numFmtId="164" fontId="11" fillId="0" borderId="46" xfId="0" applyNumberFormat="1" applyFont="1" applyFill="1" applyBorder="1" applyAlignment="1">
      <alignment vertical="center"/>
    </xf>
    <xf numFmtId="4" fontId="11" fillId="0" borderId="44" xfId="0" applyNumberFormat="1" applyFont="1" applyFill="1" applyBorder="1" applyAlignment="1">
      <alignment vertical="center"/>
    </xf>
    <xf numFmtId="4" fontId="11" fillId="0" borderId="45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4" fontId="11" fillId="0" borderId="46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horizontal="right" vertical="center" wrapText="1"/>
    </xf>
    <xf numFmtId="1" fontId="5" fillId="0" borderId="5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horizontal="right" vertical="center" wrapText="1"/>
    </xf>
    <xf numFmtId="1" fontId="5" fillId="0" borderId="24" xfId="0" applyNumberFormat="1" applyFont="1" applyFill="1" applyBorder="1" applyAlignment="1">
      <alignment horizontal="right" vertical="center" wrapText="1"/>
    </xf>
    <xf numFmtId="1" fontId="5" fillId="0" borderId="5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/>
    <xf numFmtId="164" fontId="12" fillId="0" borderId="29" xfId="0" applyNumberFormat="1" applyFont="1" applyFill="1" applyBorder="1" applyAlignment="1">
      <alignment horizontal="center" vertical="center" wrapText="1"/>
    </xf>
    <xf numFmtId="2" fontId="11" fillId="0" borderId="73" xfId="0" applyNumberFormat="1" applyFont="1" applyFill="1" applyBorder="1" applyAlignment="1">
      <alignment horizontal="right" vertical="center" wrapText="1"/>
    </xf>
    <xf numFmtId="2" fontId="11" fillId="0" borderId="43" xfId="0" applyNumberFormat="1" applyFont="1" applyFill="1" applyBorder="1" applyAlignment="1">
      <alignment horizontal="right" vertical="center" wrapText="1"/>
    </xf>
    <xf numFmtId="2" fontId="11" fillId="0" borderId="54" xfId="0" applyNumberFormat="1" applyFont="1" applyFill="1" applyBorder="1" applyAlignment="1">
      <alignment horizontal="right" vertical="center" wrapText="1"/>
    </xf>
    <xf numFmtId="164" fontId="11" fillId="0" borderId="56" xfId="0" applyNumberFormat="1" applyFont="1" applyFill="1" applyBorder="1" applyAlignment="1">
      <alignment vertical="center"/>
    </xf>
    <xf numFmtId="2" fontId="11" fillId="0" borderId="84" xfId="0" applyNumberFormat="1" applyFont="1" applyFill="1" applyBorder="1" applyAlignment="1">
      <alignment horizontal="right" vertical="center" wrapText="1"/>
    </xf>
    <xf numFmtId="164" fontId="11" fillId="0" borderId="85" xfId="0" applyNumberFormat="1" applyFont="1" applyFill="1" applyBorder="1" applyAlignment="1">
      <alignment horizontal="center" vertical="center" wrapText="1"/>
    </xf>
    <xf numFmtId="4" fontId="11" fillId="0" borderId="86" xfId="0" applyNumberFormat="1" applyFont="1" applyFill="1" applyBorder="1" applyAlignment="1">
      <alignment vertical="center"/>
    </xf>
    <xf numFmtId="4" fontId="11" fillId="0" borderId="54" xfId="0" applyNumberFormat="1" applyFont="1" applyFill="1" applyBorder="1" applyAlignment="1">
      <alignment vertical="center"/>
    </xf>
    <xf numFmtId="4" fontId="11" fillId="0" borderId="55" xfId="0" applyNumberFormat="1" applyFont="1" applyFill="1" applyBorder="1" applyAlignment="1">
      <alignment vertical="center"/>
    </xf>
    <xf numFmtId="164" fontId="11" fillId="0" borderId="85" xfId="0" applyNumberFormat="1" applyFont="1" applyFill="1" applyBorder="1" applyAlignment="1">
      <alignment vertical="center"/>
    </xf>
    <xf numFmtId="4" fontId="11" fillId="0" borderId="87" xfId="0" applyNumberFormat="1" applyFont="1" applyFill="1" applyBorder="1" applyAlignment="1">
      <alignment horizontal="right" vertical="center" wrapText="1"/>
    </xf>
    <xf numFmtId="4" fontId="11" fillId="0" borderId="52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horizontal="right" vertical="center" wrapText="1"/>
    </xf>
    <xf numFmtId="2" fontId="11" fillId="0" borderId="55" xfId="0" applyNumberFormat="1" applyFont="1" applyFill="1" applyBorder="1" applyAlignment="1">
      <alignment horizontal="right" vertical="center" wrapText="1"/>
    </xf>
    <xf numFmtId="4" fontId="11" fillId="0" borderId="56" xfId="0" applyNumberFormat="1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62" xfId="0" applyFont="1" applyFill="1" applyBorder="1"/>
    <xf numFmtId="164" fontId="11" fillId="0" borderId="19" xfId="0" applyNumberFormat="1" applyFont="1" applyFill="1" applyBorder="1" applyAlignment="1">
      <alignment horizontal="right" vertical="center" wrapText="1"/>
    </xf>
    <xf numFmtId="0" fontId="11" fillId="0" borderId="20" xfId="0" applyNumberFormat="1" applyFont="1" applyFill="1" applyBorder="1" applyAlignment="1">
      <alignment horizontal="right" vertical="center" wrapText="1"/>
    </xf>
    <xf numFmtId="4" fontId="11" fillId="0" borderId="82" xfId="0" applyNumberFormat="1" applyFont="1" applyFill="1" applyBorder="1" applyAlignment="1">
      <alignment vertical="center"/>
    </xf>
    <xf numFmtId="4" fontId="11" fillId="0" borderId="39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164" fontId="11" fillId="0" borderId="76" xfId="0" applyNumberFormat="1" applyFont="1" applyFill="1" applyBorder="1" applyAlignment="1">
      <alignment vertical="center"/>
    </xf>
    <xf numFmtId="4" fontId="11" fillId="0" borderId="77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vertical="center"/>
    </xf>
    <xf numFmtId="164" fontId="11" fillId="0" borderId="19" xfId="0" applyNumberFormat="1" applyFont="1" applyFill="1" applyBorder="1" applyAlignment="1">
      <alignment vertical="center"/>
    </xf>
    <xf numFmtId="0" fontId="11" fillId="0" borderId="42" xfId="0" applyNumberFormat="1" applyFont="1" applyFill="1" applyBorder="1" applyAlignment="1">
      <alignment horizontal="right" vertical="center" wrapText="1"/>
    </xf>
    <xf numFmtId="0" fontId="11" fillId="0" borderId="18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5" fillId="0" borderId="28" xfId="0" applyNumberFormat="1" applyFont="1" applyFill="1" applyBorder="1" applyAlignment="1">
      <alignment horizontal="right" vertical="center" wrapText="1"/>
    </xf>
    <xf numFmtId="0" fontId="5" fillId="0" borderId="5" xfId="0" applyNumberFormat="1" applyFont="1" applyFill="1" applyBorder="1" applyAlignment="1">
      <alignment horizontal="right" vertical="center" wrapText="1"/>
    </xf>
    <xf numFmtId="0" fontId="5" fillId="0" borderId="24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right" vertical="center" wrapText="1"/>
    </xf>
    <xf numFmtId="4" fontId="5" fillId="0" borderId="82" xfId="0" applyNumberFormat="1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4" fontId="5" fillId="0" borderId="7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/>
    <xf numFmtId="2" fontId="11" fillId="0" borderId="2" xfId="0" applyNumberFormat="1" applyFont="1" applyFill="1" applyBorder="1" applyAlignment="1">
      <alignment horizontal="right" vertical="center" wrapText="1"/>
    </xf>
    <xf numFmtId="164" fontId="11" fillId="0" borderId="7" xfId="0" applyNumberFormat="1" applyFont="1" applyFill="1" applyBorder="1" applyAlignment="1">
      <alignment horizontal="right" vertical="center" wrapText="1"/>
    </xf>
    <xf numFmtId="0" fontId="11" fillId="0" borderId="88" xfId="0" applyNumberFormat="1" applyFont="1" applyFill="1" applyBorder="1" applyAlignment="1">
      <alignment horizontal="right" vertical="center" wrapText="1"/>
    </xf>
    <xf numFmtId="0" fontId="5" fillId="0" borderId="48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Fill="1" applyBorder="1" applyAlignment="1">
      <alignment horizontal="right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11" fillId="0" borderId="28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64" fontId="11" fillId="0" borderId="10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4" fontId="11" fillId="0" borderId="7" xfId="0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horizontal="right" vertical="center" wrapText="1"/>
    </xf>
    <xf numFmtId="0" fontId="11" fillId="0" borderId="9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4" fontId="5" fillId="0" borderId="64" xfId="0" applyNumberFormat="1" applyFont="1" applyFill="1" applyBorder="1" applyAlignment="1">
      <alignment horizontal="right" vertical="center" wrapText="1"/>
    </xf>
    <xf numFmtId="2" fontId="11" fillId="0" borderId="60" xfId="0" applyNumberFormat="1" applyFont="1" applyFill="1" applyBorder="1" applyAlignment="1">
      <alignment horizontal="right" vertical="center" wrapText="1"/>
    </xf>
    <xf numFmtId="164" fontId="9" fillId="0" borderId="64" xfId="0" applyNumberFormat="1" applyFont="1" applyFill="1" applyBorder="1" applyAlignment="1">
      <alignment horizontal="right" vertical="center" wrapText="1"/>
    </xf>
    <xf numFmtId="0" fontId="5" fillId="0" borderId="89" xfId="0" applyNumberFormat="1" applyFont="1" applyFill="1" applyBorder="1" applyAlignment="1">
      <alignment horizontal="right" vertical="center" wrapText="1"/>
    </xf>
    <xf numFmtId="164" fontId="11" fillId="0" borderId="90" xfId="0" applyNumberFormat="1" applyFont="1" applyFill="1" applyBorder="1" applyAlignment="1">
      <alignment horizontal="center" vertical="center" wrapText="1"/>
    </xf>
    <xf numFmtId="4" fontId="5" fillId="0" borderId="91" xfId="0" applyNumberFormat="1" applyFont="1" applyFill="1" applyBorder="1" applyAlignment="1">
      <alignment vertical="center"/>
    </xf>
    <xf numFmtId="4" fontId="5" fillId="0" borderId="60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164" fontId="5" fillId="0" borderId="90" xfId="0" applyNumberFormat="1" applyFont="1" applyFill="1" applyBorder="1" applyAlignment="1">
      <alignment vertical="center"/>
    </xf>
    <xf numFmtId="4" fontId="5" fillId="0" borderId="92" xfId="0" applyNumberFormat="1" applyFont="1" applyFill="1" applyBorder="1" applyAlignment="1">
      <alignment horizontal="right" vertical="center" wrapText="1"/>
    </xf>
    <xf numFmtId="4" fontId="5" fillId="0" borderId="58" xfId="0" applyNumberFormat="1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164" fontId="5" fillId="0" borderId="64" xfId="0" applyNumberFormat="1" applyFont="1" applyFill="1" applyBorder="1" applyAlignment="1">
      <alignment vertical="center"/>
    </xf>
    <xf numFmtId="0" fontId="5" fillId="0" borderId="63" xfId="0" applyNumberFormat="1" applyFont="1" applyFill="1" applyBorder="1" applyAlignment="1">
      <alignment horizontal="right" vertical="center" wrapText="1"/>
    </xf>
    <xf numFmtId="0" fontId="5" fillId="0" borderId="61" xfId="0" applyNumberFormat="1" applyFont="1" applyFill="1" applyBorder="1" applyAlignment="1">
      <alignment horizontal="right" vertical="center" wrapText="1"/>
    </xf>
    <xf numFmtId="4" fontId="5" fillId="0" borderId="64" xfId="0" applyNumberFormat="1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59" xfId="0" applyFont="1" applyFill="1" applyBorder="1"/>
    <xf numFmtId="0" fontId="11" fillId="0" borderId="73" xfId="0" applyNumberFormat="1" applyFont="1" applyFill="1" applyBorder="1" applyAlignment="1">
      <alignment horizontal="right" vertical="center" wrapText="1"/>
    </xf>
    <xf numFmtId="0" fontId="11" fillId="0" borderId="45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3" xfId="0" applyNumberFormat="1" applyFont="1" applyFill="1" applyBorder="1" applyAlignment="1">
      <alignment horizontal="right" vertical="center" wrapText="1"/>
    </xf>
    <xf numFmtId="0" fontId="11" fillId="0" borderId="45" xfId="0" applyNumberFormat="1" applyFont="1" applyFill="1" applyBorder="1" applyAlignment="1">
      <alignment horizontal="right" vertical="center" wrapText="1"/>
    </xf>
    <xf numFmtId="0" fontId="12" fillId="0" borderId="20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right" vertical="center" wrapText="1"/>
    </xf>
    <xf numFmtId="4" fontId="12" fillId="0" borderId="13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64" fontId="12" fillId="0" borderId="7" xfId="0" applyNumberFormat="1" applyFont="1" applyFill="1" applyBorder="1" applyAlignment="1">
      <alignment vertical="center"/>
    </xf>
    <xf numFmtId="0" fontId="12" fillId="0" borderId="42" xfId="0" applyNumberFormat="1" applyFont="1" applyFill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Fill="1" applyBorder="1" applyAlignment="1">
      <alignment vertical="center"/>
    </xf>
    <xf numFmtId="0" fontId="12" fillId="0" borderId="28" xfId="0" applyNumberFormat="1" applyFont="1" applyFill="1" applyBorder="1" applyAlignment="1">
      <alignment horizontal="right" vertical="center" wrapText="1"/>
    </xf>
    <xf numFmtId="0" fontId="12" fillId="0" borderId="24" xfId="0" applyNumberFormat="1" applyFont="1" applyFill="1" applyBorder="1" applyAlignment="1">
      <alignment horizontal="right" vertical="center" wrapText="1"/>
    </xf>
    <xf numFmtId="0" fontId="12" fillId="0" borderId="5" xfId="0" applyNumberFormat="1" applyFont="1" applyFill="1" applyBorder="1" applyAlignment="1">
      <alignment horizontal="right" vertical="center" wrapText="1"/>
    </xf>
    <xf numFmtId="0" fontId="5" fillId="0" borderId="78" xfId="0" applyNumberFormat="1" applyFont="1" applyFill="1" applyBorder="1" applyAlignment="1">
      <alignment horizontal="right" vertical="center" wrapText="1"/>
    </xf>
    <xf numFmtId="2" fontId="12" fillId="0" borderId="2" xfId="0" applyNumberFormat="1" applyFont="1" applyFill="1" applyBorder="1" applyAlignment="1">
      <alignment horizontal="right" vertical="center" wrapText="1"/>
    </xf>
    <xf numFmtId="0" fontId="12" fillId="0" borderId="93" xfId="0" applyNumberFormat="1" applyFont="1" applyFill="1" applyBorder="1" applyAlignment="1">
      <alignment horizontal="right" vertical="center" wrapText="1"/>
    </xf>
    <xf numFmtId="4" fontId="12" fillId="0" borderId="9" xfId="0" applyNumberFormat="1" applyFont="1" applyFill="1" applyBorder="1" applyAlignment="1">
      <alignment horizontal="right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8" xfId="0" applyNumberFormat="1" applyFont="1" applyFill="1" applyBorder="1" applyAlignment="1">
      <alignment horizontal="right" vertical="center" wrapText="1"/>
    </xf>
    <xf numFmtId="0" fontId="12" fillId="0" borderId="41" xfId="0" applyFont="1" applyFill="1" applyBorder="1" applyAlignment="1">
      <alignment vertical="center"/>
    </xf>
    <xf numFmtId="0" fontId="12" fillId="0" borderId="41" xfId="0" applyFont="1" applyFill="1" applyBorder="1"/>
    <xf numFmtId="4" fontId="5" fillId="0" borderId="20" xfId="0" applyNumberFormat="1" applyFont="1" applyFill="1" applyBorder="1" applyAlignment="1">
      <alignment horizontal="left" vertical="center"/>
    </xf>
    <xf numFmtId="4" fontId="5" fillId="0" borderId="77" xfId="0" applyNumberFormat="1" applyFont="1" applyFill="1" applyBorder="1" applyAlignment="1">
      <alignment horizontal="right" vertical="center"/>
    </xf>
    <xf numFmtId="4" fontId="12" fillId="0" borderId="28" xfId="0" applyNumberFormat="1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" fontId="12" fillId="0" borderId="31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/>
    </xf>
    <xf numFmtId="4" fontId="5" fillId="0" borderId="78" xfId="0" applyNumberFormat="1" applyFont="1" applyFill="1" applyBorder="1" applyAlignment="1">
      <alignment horizontal="left" vertical="center"/>
    </xf>
    <xf numFmtId="4" fontId="5" fillId="0" borderId="80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164" fontId="9" fillId="0" borderId="64" xfId="0" applyNumberFormat="1" applyFont="1" applyFill="1" applyBorder="1" applyAlignment="1">
      <alignment vertical="center"/>
    </xf>
    <xf numFmtId="4" fontId="5" fillId="0" borderId="89" xfId="0" applyNumberFormat="1" applyFont="1" applyFill="1" applyBorder="1" applyAlignment="1">
      <alignment horizontal="left" vertical="center"/>
    </xf>
    <xf numFmtId="4" fontId="5" fillId="0" borderId="92" xfId="0" applyNumberFormat="1" applyFont="1" applyFill="1" applyBorder="1" applyAlignment="1">
      <alignment horizontal="right" vertical="center"/>
    </xf>
    <xf numFmtId="4" fontId="5" fillId="0" borderId="63" xfId="0" applyNumberFormat="1" applyFont="1" applyFill="1" applyBorder="1" applyAlignment="1">
      <alignment horizontal="right" vertical="center"/>
    </xf>
    <xf numFmtId="4" fontId="11" fillId="0" borderId="73" xfId="0" applyNumberFormat="1" applyFont="1" applyFill="1" applyBorder="1" applyAlignment="1">
      <alignment horizontal="right" vertical="center"/>
    </xf>
    <xf numFmtId="4" fontId="11" fillId="0" borderId="75" xfId="0" applyNumberFormat="1" applyFont="1" applyFill="1" applyBorder="1" applyAlignment="1">
      <alignment horizontal="right" vertical="center"/>
    </xf>
    <xf numFmtId="4" fontId="11" fillId="0" borderId="43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horizontal="right" vertical="center"/>
    </xf>
    <xf numFmtId="4" fontId="5" fillId="0" borderId="78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vertical="center"/>
    </xf>
    <xf numFmtId="4" fontId="11" fillId="0" borderId="49" xfId="0" applyNumberFormat="1" applyFont="1" applyFill="1" applyBorder="1" applyAlignment="1">
      <alignment vertical="center"/>
    </xf>
    <xf numFmtId="4" fontId="11" fillId="0" borderId="78" xfId="0" applyNumberFormat="1" applyFont="1" applyFill="1" applyBorder="1" applyAlignment="1">
      <alignment horizontal="right" vertical="center"/>
    </xf>
    <xf numFmtId="4" fontId="11" fillId="0" borderId="38" xfId="0" applyNumberFormat="1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horizontal="right" vertical="center" wrapText="1"/>
    </xf>
    <xf numFmtId="4" fontId="11" fillId="0" borderId="83" xfId="0" applyNumberFormat="1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vertical="center"/>
    </xf>
    <xf numFmtId="164" fontId="11" fillId="0" borderId="79" xfId="0" applyNumberFormat="1" applyFont="1" applyFill="1" applyBorder="1" applyAlignment="1">
      <alignment vertical="center"/>
    </xf>
    <xf numFmtId="4" fontId="11" fillId="0" borderId="80" xfId="0" applyNumberFormat="1" applyFont="1" applyFill="1" applyBorder="1" applyAlignment="1">
      <alignment horizontal="right" vertical="center"/>
    </xf>
    <xf numFmtId="4" fontId="11" fillId="0" borderId="47" xfId="0" applyNumberFormat="1" applyFont="1" applyFill="1" applyBorder="1" applyAlignment="1">
      <alignment vertical="center"/>
    </xf>
    <xf numFmtId="4" fontId="11" fillId="0" borderId="40" xfId="0" applyNumberFormat="1" applyFont="1" applyFill="1" applyBorder="1" applyAlignment="1">
      <alignment vertical="center"/>
    </xf>
    <xf numFmtId="4" fontId="11" fillId="0" borderId="48" xfId="0" applyNumberFormat="1" applyFont="1" applyFill="1" applyBorder="1" applyAlignment="1">
      <alignment horizontal="right" vertical="center"/>
    </xf>
    <xf numFmtId="4" fontId="11" fillId="0" borderId="21" xfId="0" applyNumberFormat="1" applyFont="1" applyFill="1" applyBorder="1" applyAlignment="1">
      <alignment horizontal="right" vertical="center"/>
    </xf>
    <xf numFmtId="4" fontId="11" fillId="0" borderId="2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4" fontId="9" fillId="0" borderId="27" xfId="0" applyNumberFormat="1" applyFont="1" applyFill="1" applyBorder="1" applyAlignment="1">
      <alignment horizontal="right" vertical="center"/>
    </xf>
    <xf numFmtId="4" fontId="9" fillId="0" borderId="78" xfId="0" applyNumberFormat="1" applyFont="1" applyFill="1" applyBorder="1" applyAlignment="1">
      <alignment horizontal="right" vertical="center"/>
    </xf>
    <xf numFmtId="4" fontId="9" fillId="0" borderId="38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horizontal="right" vertical="center" wrapText="1"/>
    </xf>
    <xf numFmtId="4" fontId="9" fillId="0" borderId="83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164" fontId="9" fillId="0" borderId="79" xfId="0" applyNumberFormat="1" applyFont="1" applyFill="1" applyBorder="1" applyAlignment="1">
      <alignment vertical="center"/>
    </xf>
    <xf numFmtId="4" fontId="9" fillId="0" borderId="80" xfId="0" applyNumberFormat="1" applyFont="1" applyFill="1" applyBorder="1" applyAlignment="1">
      <alignment horizontal="right" vertical="center"/>
    </xf>
    <xf numFmtId="166" fontId="9" fillId="0" borderId="47" xfId="0" applyNumberFormat="1" applyFont="1" applyFill="1" applyBorder="1" applyAlignment="1">
      <alignment vertical="center"/>
    </xf>
    <xf numFmtId="166" fontId="9" fillId="0" borderId="40" xfId="0" applyNumberFormat="1" applyFont="1" applyFill="1" applyBorder="1" applyAlignment="1">
      <alignment vertical="center"/>
    </xf>
    <xf numFmtId="4" fontId="9" fillId="0" borderId="48" xfId="0" applyNumberFormat="1" applyFont="1" applyFill="1" applyBorder="1" applyAlignment="1">
      <alignment horizontal="right" vertical="center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4" fontId="6" fillId="0" borderId="0" xfId="0" applyNumberFormat="1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4" fontId="6" fillId="0" borderId="94" xfId="0" applyNumberFormat="1" applyFont="1" applyFill="1" applyBorder="1" applyAlignment="1">
      <alignment horizontal="center" vertical="center" wrapText="1"/>
    </xf>
    <xf numFmtId="4" fontId="6" fillId="0" borderId="66" xfId="0" applyNumberFormat="1" applyFont="1" applyFill="1" applyBorder="1" applyAlignment="1">
      <alignment horizontal="center" vertical="center" wrapText="1"/>
    </xf>
    <xf numFmtId="4" fontId="6" fillId="0" borderId="95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165" fontId="11" fillId="0" borderId="40" xfId="0" applyNumberFormat="1" applyFont="1" applyFill="1" applyBorder="1" applyAlignment="1">
      <alignment horizontal="right" vertical="center"/>
    </xf>
    <xf numFmtId="164" fontId="11" fillId="0" borderId="49" xfId="0" applyNumberFormat="1" applyFont="1" applyFill="1" applyBorder="1" applyAlignment="1">
      <alignment vertical="center"/>
    </xf>
    <xf numFmtId="164" fontId="11" fillId="0" borderId="50" xfId="0" applyNumberFormat="1" applyFont="1" applyFill="1" applyBorder="1" applyAlignment="1">
      <alignment vertical="center"/>
    </xf>
    <xf numFmtId="4" fontId="11" fillId="0" borderId="38" xfId="0" applyNumberFormat="1" applyFont="1" applyFill="1" applyBorder="1" applyAlignment="1">
      <alignment horizontal="right" vertical="center"/>
    </xf>
    <xf numFmtId="165" fontId="11" fillId="0" borderId="21" xfId="0" applyNumberFormat="1" applyFont="1" applyFill="1" applyBorder="1" applyAlignment="1">
      <alignment horizontal="right" vertical="center"/>
    </xf>
    <xf numFmtId="4" fontId="11" fillId="0" borderId="2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left" vertical="center"/>
    </xf>
    <xf numFmtId="4" fontId="16" fillId="0" borderId="4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17" fillId="0" borderId="9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4" fontId="17" fillId="0" borderId="88" xfId="0" applyNumberFormat="1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4" fontId="17" fillId="0" borderId="12" xfId="0" applyNumberFormat="1" applyFont="1" applyFill="1" applyBorder="1" applyAlignment="1">
      <alignment horizontal="right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right" vertical="center" wrapText="1"/>
    </xf>
    <xf numFmtId="4" fontId="17" fillId="0" borderId="9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/>
    </xf>
    <xf numFmtId="165" fontId="11" fillId="0" borderId="17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center"/>
    </xf>
    <xf numFmtId="164" fontId="11" fillId="0" borderId="3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horizontal="right" vertical="center"/>
    </xf>
    <xf numFmtId="4" fontId="11" fillId="0" borderId="39" xfId="0" applyNumberFormat="1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>
      <alignment horizontal="right" vertical="center"/>
    </xf>
    <xf numFmtId="165" fontId="11" fillId="0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 horizontal="right" vertical="center"/>
    </xf>
    <xf numFmtId="4" fontId="11" fillId="0" borderId="88" xfId="0" applyNumberFormat="1" applyFont="1" applyFill="1" applyBorder="1" applyAlignment="1">
      <alignment horizontal="right" vertical="center"/>
    </xf>
    <xf numFmtId="4" fontId="11" fillId="0" borderId="9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horizontal="right" vertical="center"/>
    </xf>
    <xf numFmtId="4" fontId="11" fillId="0" borderId="9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0" fontId="20" fillId="0" borderId="0" xfId="0" applyFont="1"/>
    <xf numFmtId="0" fontId="0" fillId="0" borderId="0" xfId="0" applyBorder="1"/>
    <xf numFmtId="4" fontId="19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4" fontId="19" fillId="0" borderId="35" xfId="0" applyNumberFormat="1" applyFont="1" applyFill="1" applyBorder="1" applyAlignment="1">
      <alignment horizontal="right" vertical="center" wrapText="1"/>
    </xf>
    <xf numFmtId="167" fontId="0" fillId="0" borderId="0" xfId="0" applyNumberFormat="1"/>
    <xf numFmtId="4" fontId="2" fillId="0" borderId="0" xfId="0" applyNumberFormat="1" applyFont="1" applyFill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right" vertical="center"/>
    </xf>
    <xf numFmtId="0" fontId="0" fillId="0" borderId="0" xfId="0" applyFill="1"/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5" fillId="0" borderId="0" xfId="0" applyFont="1"/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67" fontId="5" fillId="0" borderId="0" xfId="0" applyNumberFormat="1" applyFont="1"/>
    <xf numFmtId="1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/>
    </xf>
    <xf numFmtId="4" fontId="12" fillId="0" borderId="26" xfId="0" applyNumberFormat="1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vertical="center" wrapText="1"/>
    </xf>
    <xf numFmtId="4" fontId="12" fillId="0" borderId="25" xfId="0" applyNumberFormat="1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vertical="center" wrapText="1"/>
    </xf>
    <xf numFmtId="4" fontId="12" fillId="0" borderId="37" xfId="0" applyNumberFormat="1" applyFont="1" applyFill="1" applyBorder="1" applyAlignment="1">
      <alignment vertical="center" wrapText="1"/>
    </xf>
    <xf numFmtId="4" fontId="12" fillId="0" borderId="33" xfId="0" applyNumberFormat="1" applyFont="1" applyFill="1" applyBorder="1" applyAlignment="1">
      <alignment vertical="center" wrapText="1"/>
    </xf>
    <xf numFmtId="4" fontId="12" fillId="0" borderId="34" xfId="0" applyNumberFormat="1" applyFont="1" applyFill="1" applyBorder="1" applyAlignment="1">
      <alignment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4" fontId="5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4" fontId="12" fillId="0" borderId="65" xfId="0" applyNumberFormat="1" applyFont="1" applyFill="1" applyBorder="1" applyAlignment="1">
      <alignment vertical="center" wrapText="1"/>
    </xf>
    <xf numFmtId="4" fontId="12" fillId="0" borderId="66" xfId="0" applyNumberFormat="1" applyFont="1" applyFill="1" applyBorder="1" applyAlignment="1">
      <alignment vertical="center" wrapText="1"/>
    </xf>
    <xf numFmtId="4" fontId="12" fillId="0" borderId="67" xfId="0" applyNumberFormat="1" applyFont="1" applyFill="1" applyBorder="1" applyAlignment="1">
      <alignment vertical="center" wrapText="1"/>
    </xf>
    <xf numFmtId="4" fontId="12" fillId="0" borderId="68" xfId="0" applyNumberFormat="1" applyFont="1" applyFill="1" applyBorder="1" applyAlignment="1">
      <alignment vertical="center" wrapText="1"/>
    </xf>
    <xf numFmtId="4" fontId="5" fillId="0" borderId="67" xfId="0" applyNumberFormat="1" applyFont="1" applyFill="1" applyBorder="1" applyAlignment="1">
      <alignment horizontal="center" vertical="center" wrapText="1"/>
    </xf>
    <xf numFmtId="4" fontId="5" fillId="0" borderId="68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5" fillId="0" borderId="69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vertical="center" wrapText="1"/>
    </xf>
    <xf numFmtId="4" fontId="5" fillId="0" borderId="37" xfId="0" applyNumberFormat="1" applyFont="1" applyFill="1" applyBorder="1" applyAlignment="1">
      <alignment vertical="center" wrapText="1"/>
    </xf>
    <xf numFmtId="4" fontId="5" fillId="0" borderId="70" xfId="0" applyNumberFormat="1" applyFont="1" applyFill="1" applyBorder="1" applyAlignment="1">
      <alignment horizontal="center" vertical="center" wrapText="1"/>
    </xf>
    <xf numFmtId="4" fontId="5" fillId="0" borderId="94" xfId="0" applyNumberFormat="1" applyFont="1" applyFill="1" applyBorder="1" applyAlignment="1">
      <alignment horizontal="center" vertical="center" wrapText="1"/>
    </xf>
    <xf numFmtId="4" fontId="5" fillId="0" borderId="66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71" xfId="0" applyNumberFormat="1" applyFont="1" applyFill="1" applyBorder="1" applyAlignment="1">
      <alignment horizontal="center" vertical="center" wrapText="1"/>
    </xf>
    <xf numFmtId="4" fontId="5" fillId="0" borderId="72" xfId="0" applyNumberFormat="1" applyFont="1" applyFill="1" applyBorder="1" applyAlignment="1">
      <alignment horizontal="center" vertical="center" wrapText="1"/>
    </xf>
    <xf numFmtId="4" fontId="5" fillId="0" borderId="95" xfId="0" applyNumberFormat="1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4" fontId="11" fillId="0" borderId="49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/>
    <xf numFmtId="0" fontId="9" fillId="0" borderId="42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3" xfId="0" applyNumberFormat="1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>
      <alignment horizontal="left" vertical="center" wrapText="1"/>
    </xf>
    <xf numFmtId="0" fontId="19" fillId="0" borderId="0" xfId="0" applyFont="1"/>
    <xf numFmtId="0" fontId="9" fillId="0" borderId="42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>
      <alignment horizontal="left" vertical="center" wrapText="1"/>
    </xf>
    <xf numFmtId="0" fontId="9" fillId="0" borderId="48" xfId="0" applyNumberFormat="1" applyFont="1" applyFill="1" applyBorder="1" applyAlignment="1">
      <alignment horizontal="left" vertical="center" wrapText="1"/>
    </xf>
    <xf numFmtId="0" fontId="11" fillId="0" borderId="53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9" fillId="0" borderId="43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53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/>
    </xf>
    <xf numFmtId="0" fontId="12" fillId="0" borderId="42" xfId="0" applyNumberFormat="1" applyFont="1" applyFill="1" applyBorder="1" applyAlignment="1">
      <alignment horizontal="left" vertical="center" wrapText="1"/>
    </xf>
    <xf numFmtId="4" fontId="12" fillId="0" borderId="25" xfId="0" applyNumberFormat="1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9" fillId="0" borderId="63" xfId="0" applyNumberFormat="1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165" fontId="11" fillId="0" borderId="25" xfId="0" applyNumberFormat="1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horizontal="right" vertical="center" wrapText="1"/>
    </xf>
    <xf numFmtId="4" fontId="11" fillId="2" borderId="25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left" vertical="center"/>
    </xf>
    <xf numFmtId="4" fontId="27" fillId="0" borderId="0" xfId="0" applyNumberFormat="1" applyFont="1" applyFill="1" applyAlignment="1">
      <alignment horizontal="left" vertical="center"/>
    </xf>
    <xf numFmtId="4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horizontal="right" vertical="center"/>
    </xf>
    <xf numFmtId="4" fontId="27" fillId="0" borderId="0" xfId="0" applyNumberFormat="1" applyFont="1" applyFill="1" applyAlignment="1">
      <alignment vertical="center"/>
    </xf>
    <xf numFmtId="0" fontId="27" fillId="0" borderId="0" xfId="0" applyFont="1" applyFill="1"/>
    <xf numFmtId="4" fontId="25" fillId="0" borderId="0" xfId="0" applyNumberFormat="1" applyFont="1" applyFill="1" applyAlignment="1">
      <alignment horizontal="right" vertical="center"/>
    </xf>
    <xf numFmtId="0" fontId="25" fillId="0" borderId="0" xfId="0" applyFont="1"/>
    <xf numFmtId="0" fontId="25" fillId="0" borderId="0" xfId="0" applyFont="1" applyFill="1"/>
    <xf numFmtId="167" fontId="25" fillId="0" borderId="0" xfId="0" applyNumberFormat="1" applyFont="1"/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4" fontId="12" fillId="0" borderId="26" xfId="0" applyNumberFormat="1" applyFont="1" applyFill="1" applyBorder="1" applyAlignment="1">
      <alignment horizontal="center" vertical="center" wrapText="1"/>
    </xf>
    <xf numFmtId="4" fontId="12" fillId="0" borderId="49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05" xfId="0" applyFont="1" applyFill="1" applyBorder="1" applyAlignment="1">
      <alignment horizontal="left" vertical="center" wrapText="1"/>
    </xf>
    <xf numFmtId="4" fontId="5" fillId="0" borderId="102" xfId="0" applyNumberFormat="1" applyFont="1" applyFill="1" applyBorder="1" applyAlignment="1">
      <alignment horizontal="center" vertical="center" wrapText="1"/>
    </xf>
    <xf numFmtId="4" fontId="5" fillId="0" borderId="103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3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5" fillId="0" borderId="49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4" fontId="5" fillId="0" borderId="97" xfId="0" applyNumberFormat="1" applyFont="1" applyFill="1" applyBorder="1" applyAlignment="1">
      <alignment horizontal="center" vertical="center" wrapText="1"/>
    </xf>
    <xf numFmtId="4" fontId="5" fillId="0" borderId="98" xfId="0" applyNumberFormat="1" applyFont="1" applyFill="1" applyBorder="1" applyAlignment="1">
      <alignment horizontal="center" vertical="center" wrapText="1"/>
    </xf>
    <xf numFmtId="4" fontId="5" fillId="0" borderId="99" xfId="0" applyNumberFormat="1" applyFont="1" applyFill="1" applyBorder="1" applyAlignment="1">
      <alignment horizontal="center" vertical="center" wrapText="1"/>
    </xf>
    <xf numFmtId="4" fontId="5" fillId="0" borderId="100" xfId="0" applyNumberFormat="1" applyFont="1" applyFill="1" applyBorder="1" applyAlignment="1">
      <alignment horizontal="center" vertical="center" wrapText="1"/>
    </xf>
    <xf numFmtId="4" fontId="5" fillId="0" borderId="101" xfId="0" applyNumberFormat="1" applyFont="1" applyFill="1" applyBorder="1" applyAlignment="1">
      <alignment horizontal="center" vertical="center" wrapText="1"/>
    </xf>
    <xf numFmtId="4" fontId="5" fillId="0" borderId="104" xfId="0" applyNumberFormat="1" applyFont="1" applyFill="1" applyBorder="1" applyAlignment="1">
      <alignment horizontal="left" vertical="center" wrapText="1"/>
    </xf>
    <xf numFmtId="4" fontId="5" fillId="0" borderId="36" xfId="0" applyNumberFormat="1" applyFont="1" applyFill="1" applyBorder="1" applyAlignment="1">
      <alignment horizontal="left" vertical="center" wrapText="1"/>
    </xf>
    <xf numFmtId="4" fontId="5" fillId="0" borderId="37" xfId="0" applyNumberFormat="1" applyFont="1" applyFill="1" applyBorder="1" applyAlignment="1">
      <alignment horizontal="left" vertical="center" wrapText="1"/>
    </xf>
    <xf numFmtId="4" fontId="12" fillId="0" borderId="34" xfId="0" applyNumberFormat="1" applyFont="1" applyFill="1" applyBorder="1" applyAlignment="1">
      <alignment horizontal="center" vertical="center" wrapText="1"/>
    </xf>
    <xf numFmtId="4" fontId="12" fillId="0" borderId="7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4" fontId="6" fillId="0" borderId="99" xfId="0" applyNumberFormat="1" applyFont="1" applyFill="1" applyBorder="1" applyAlignment="1">
      <alignment horizontal="center" vertical="center" wrapText="1"/>
    </xf>
    <xf numFmtId="4" fontId="6" fillId="0" borderId="100" xfId="0" applyNumberFormat="1" applyFont="1" applyFill="1" applyBorder="1" applyAlignment="1">
      <alignment horizontal="center" vertical="center" wrapText="1"/>
    </xf>
    <xf numFmtId="4" fontId="6" fillId="0" borderId="10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" fontId="10" fillId="0" borderId="26" xfId="0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horizontal="center" vertical="center" wrapText="1"/>
    </xf>
    <xf numFmtId="4" fontId="6" fillId="0" borderId="102" xfId="0" applyNumberFormat="1" applyFont="1" applyFill="1" applyBorder="1" applyAlignment="1">
      <alignment horizontal="center" vertical="center" wrapText="1"/>
    </xf>
    <xf numFmtId="4" fontId="6" fillId="0" borderId="103" xfId="0" applyNumberFormat="1" applyFont="1" applyFill="1" applyBorder="1" applyAlignment="1">
      <alignment horizontal="center" vertical="center" wrapText="1"/>
    </xf>
    <xf numFmtId="4" fontId="6" fillId="0" borderId="104" xfId="0" applyNumberFormat="1" applyFont="1" applyFill="1" applyBorder="1" applyAlignment="1">
      <alignment horizontal="left" vertical="center" wrapText="1"/>
    </xf>
    <xf numFmtId="4" fontId="6" fillId="0" borderId="36" xfId="0" applyNumberFormat="1" applyFont="1" applyFill="1" applyBorder="1" applyAlignment="1">
      <alignment horizontal="left" vertical="center" wrapText="1"/>
    </xf>
    <xf numFmtId="4" fontId="6" fillId="0" borderId="37" xfId="0" applyNumberFormat="1" applyFont="1" applyFill="1" applyBorder="1" applyAlignment="1">
      <alignment horizontal="left" vertical="center" wrapText="1"/>
    </xf>
    <xf numFmtId="4" fontId="6" fillId="0" borderId="97" xfId="0" applyNumberFormat="1" applyFont="1" applyFill="1" applyBorder="1" applyAlignment="1">
      <alignment horizontal="center" vertical="center" wrapText="1"/>
    </xf>
    <xf numFmtId="4" fontId="6" fillId="0" borderId="98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348"/>
  <sheetViews>
    <sheetView tabSelected="1" view="pageBreakPreview" topLeftCell="A238" zoomScaleSheetLayoutView="100" workbookViewId="0">
      <selection activeCell="DD335" sqref="DD335"/>
    </sheetView>
  </sheetViews>
  <sheetFormatPr defaultRowHeight="12" outlineLevelCol="1"/>
  <cols>
    <col min="1" max="1" width="9.83203125" style="42" customWidth="1"/>
    <col min="2" max="2" width="48" style="43" customWidth="1"/>
    <col min="3" max="3" width="15.1640625" style="44" customWidth="1"/>
    <col min="4" max="7" width="14" style="28" hidden="1" customWidth="1" outlineLevel="1"/>
    <col min="8" max="23" width="14.83203125" style="28" hidden="1" customWidth="1" outlineLevel="1"/>
    <col min="24" max="24" width="14.83203125" style="29" hidden="1" customWidth="1" outlineLevel="1"/>
    <col min="25" max="25" width="14.83203125" style="30" hidden="1" customWidth="1" outlineLevel="1"/>
    <col min="26" max="35" width="14.83203125" style="28" hidden="1" customWidth="1" outlineLevel="1"/>
    <col min="36" max="36" width="14.83203125" style="29" hidden="1" customWidth="1" outlineLevel="1"/>
    <col min="37" max="49" width="14.83203125" style="30" hidden="1" customWidth="1" outlineLevel="1"/>
    <col min="50" max="50" width="0.5" style="30" hidden="1" customWidth="1" outlineLevel="1"/>
    <col min="51" max="51" width="15.33203125" style="30" hidden="1" customWidth="1" outlineLevel="1"/>
    <col min="52" max="52" width="14.83203125" style="30" hidden="1" customWidth="1" outlineLevel="1"/>
    <col min="53" max="53" width="13.83203125" style="30" hidden="1" customWidth="1" outlineLevel="1"/>
    <col min="54" max="54" width="14.83203125" style="30" hidden="1" customWidth="1" outlineLevel="1"/>
    <col min="55" max="55" width="14" style="30" hidden="1" customWidth="1" outlineLevel="1"/>
    <col min="56" max="56" width="14.83203125" style="30" hidden="1" customWidth="1" outlineLevel="1"/>
    <col min="57" max="57" width="15.1640625" style="30" hidden="1" customWidth="1" outlineLevel="1"/>
    <col min="58" max="63" width="14.83203125" style="30" hidden="1" customWidth="1" outlineLevel="1"/>
    <col min="64" max="65" width="14.83203125" style="704" hidden="1" customWidth="1" outlineLevel="1"/>
    <col min="66" max="66" width="14.83203125" style="29" hidden="1" customWidth="1" outlineLevel="1"/>
    <col min="67" max="67" width="14.83203125" style="30" hidden="1" customWidth="1" outlineLevel="1"/>
    <col min="68" max="69" width="14.83203125" style="704" hidden="1" customWidth="1" outlineLevel="1"/>
    <col min="70" max="70" width="14.83203125" style="29" hidden="1" customWidth="1" outlineLevel="1"/>
    <col min="71" max="71" width="14.83203125" style="30" hidden="1" customWidth="1" outlineLevel="1"/>
    <col min="72" max="73" width="14.83203125" style="704" hidden="1" customWidth="1" outlineLevel="1"/>
    <col min="74" max="74" width="14.83203125" style="29" hidden="1" customWidth="1" outlineLevel="1"/>
    <col min="75" max="76" width="14.83203125" style="30" hidden="1" customWidth="1" outlineLevel="1"/>
    <col min="77" max="77" width="11" style="29" hidden="1" customWidth="1" outlineLevel="1"/>
    <col min="78" max="78" width="11" style="29" hidden="1" customWidth="1"/>
    <col min="79" max="81" width="14.83203125" style="29" hidden="1" customWidth="1"/>
    <col min="82" max="82" width="12.83203125" style="29" hidden="1" customWidth="1"/>
    <col min="83" max="83" width="10.83203125" style="29" hidden="1" customWidth="1"/>
    <col min="84" max="84" width="9.83203125" style="29" hidden="1" customWidth="1"/>
    <col min="85" max="90" width="10.6640625" style="29" hidden="1" customWidth="1"/>
    <col min="91" max="104" width="10.6640625" style="705" hidden="1" customWidth="1"/>
    <col min="105" max="106" width="15.33203125" style="30" hidden="1" customWidth="1" outlineLevel="1"/>
    <col min="107" max="107" width="20.83203125" style="28" customWidth="1" outlineLevel="1"/>
    <col min="108" max="108" width="20" style="28" customWidth="1" outlineLevel="1"/>
    <col min="109" max="109" width="17.83203125" style="28" customWidth="1" outlineLevel="1"/>
    <col min="110" max="110" width="15.33203125" style="28" hidden="1" customWidth="1" outlineLevel="1"/>
    <col min="111" max="111" width="17.6640625" style="28" hidden="1" customWidth="1" outlineLevel="1"/>
    <col min="112" max="112" width="9.33203125" hidden="1" customWidth="1"/>
    <col min="114" max="114" width="9.33203125" style="773"/>
  </cols>
  <sheetData>
    <row r="1" spans="1:210" ht="15" hidden="1">
      <c r="G1" s="913" t="s">
        <v>295</v>
      </c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  <c r="Z1" s="913"/>
      <c r="AA1" s="913"/>
      <c r="AB1" s="913"/>
      <c r="AC1" s="913"/>
      <c r="AD1" s="913"/>
      <c r="AE1" s="913"/>
      <c r="AF1" s="913"/>
      <c r="AG1" s="913"/>
      <c r="AH1" s="913"/>
      <c r="AI1" s="913"/>
      <c r="AJ1" s="913"/>
      <c r="AK1" s="913"/>
      <c r="AL1" s="913"/>
      <c r="AM1" s="913"/>
      <c r="AN1" s="913"/>
      <c r="AO1" s="913"/>
      <c r="AP1" s="913"/>
      <c r="AQ1" s="913"/>
      <c r="AR1" s="913"/>
      <c r="AS1" s="913"/>
      <c r="AT1" s="913"/>
      <c r="AU1" s="913"/>
      <c r="AV1" s="913"/>
      <c r="AW1" s="913"/>
      <c r="AX1" s="913"/>
      <c r="AY1" s="913"/>
      <c r="AZ1" s="913"/>
      <c r="BA1" s="913"/>
      <c r="BB1" s="913"/>
      <c r="BC1" s="913"/>
      <c r="BD1" s="913"/>
      <c r="BE1" s="913"/>
      <c r="BF1" s="913"/>
      <c r="BG1" s="913"/>
      <c r="BH1" s="913"/>
      <c r="BI1" s="913"/>
      <c r="BJ1" s="913"/>
      <c r="BK1" s="913"/>
      <c r="BL1" s="913"/>
      <c r="BM1" s="913"/>
      <c r="BN1" s="913"/>
      <c r="BO1" s="913"/>
      <c r="BP1" s="913"/>
      <c r="BQ1" s="913"/>
      <c r="BR1" s="913"/>
      <c r="BS1" s="913"/>
      <c r="BT1" s="913"/>
      <c r="BU1" s="913"/>
      <c r="BV1" s="913"/>
      <c r="BW1" s="913"/>
      <c r="BX1" s="913"/>
      <c r="BY1" s="913"/>
      <c r="BZ1" s="913"/>
      <c r="CA1" s="913"/>
      <c r="CB1" s="913"/>
      <c r="CC1" s="913"/>
      <c r="CD1" s="913"/>
      <c r="CE1" s="913"/>
      <c r="CF1" s="913"/>
      <c r="CG1" s="913"/>
      <c r="CH1" s="913"/>
      <c r="CI1" s="913"/>
      <c r="CJ1" s="913"/>
      <c r="CK1" s="913"/>
      <c r="CL1" s="913"/>
      <c r="CM1" s="913"/>
      <c r="CN1" s="913"/>
      <c r="CO1" s="913"/>
      <c r="CP1" s="913"/>
      <c r="CQ1" s="913"/>
      <c r="CR1" s="913"/>
      <c r="CS1" s="913"/>
      <c r="CT1" s="913"/>
      <c r="CU1" s="913"/>
      <c r="CV1" s="913"/>
      <c r="CW1" s="913"/>
      <c r="CX1" s="913"/>
      <c r="CY1" s="913"/>
      <c r="CZ1" s="913"/>
      <c r="DA1" s="913"/>
      <c r="DB1" s="913"/>
      <c r="DC1"/>
      <c r="DD1"/>
      <c r="DE1"/>
      <c r="DF1"/>
      <c r="DG1"/>
    </row>
    <row r="2" spans="1:210" ht="15" hidden="1">
      <c r="G2" s="913" t="s">
        <v>303</v>
      </c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  <c r="AH2" s="913"/>
      <c r="AI2" s="913"/>
      <c r="AJ2" s="913"/>
      <c r="AK2" s="913"/>
      <c r="AL2" s="913"/>
      <c r="AM2" s="913"/>
      <c r="AN2" s="913"/>
      <c r="AO2" s="913"/>
      <c r="AP2" s="913"/>
      <c r="AQ2" s="913"/>
      <c r="AR2" s="913"/>
      <c r="AS2" s="913"/>
      <c r="AT2" s="913"/>
      <c r="AU2" s="913"/>
      <c r="AV2" s="913"/>
      <c r="AW2" s="913"/>
      <c r="AX2" s="913"/>
      <c r="AY2" s="913"/>
      <c r="AZ2" s="913"/>
      <c r="BA2" s="913"/>
      <c r="BB2" s="913"/>
      <c r="BC2" s="913"/>
      <c r="BD2" s="913"/>
      <c r="BE2" s="913"/>
      <c r="BF2" s="913"/>
      <c r="BG2" s="913"/>
      <c r="BH2" s="913"/>
      <c r="BI2" s="913"/>
      <c r="BJ2" s="913"/>
      <c r="BK2" s="913"/>
      <c r="BL2" s="913"/>
      <c r="BM2" s="913"/>
      <c r="BN2" s="913"/>
      <c r="BO2" s="913"/>
      <c r="BP2" s="913"/>
      <c r="BQ2" s="913"/>
      <c r="BR2" s="913"/>
      <c r="BS2" s="913"/>
      <c r="BT2" s="913"/>
      <c r="BU2" s="913"/>
      <c r="BV2" s="913"/>
      <c r="BW2" s="913"/>
      <c r="BX2" s="913"/>
      <c r="BY2" s="913"/>
      <c r="BZ2" s="913"/>
      <c r="CA2" s="913"/>
      <c r="CB2" s="913"/>
      <c r="CC2" s="913"/>
      <c r="CD2" s="913"/>
      <c r="CE2" s="913"/>
      <c r="CF2" s="913"/>
      <c r="CG2" s="913"/>
      <c r="CH2" s="913"/>
      <c r="CI2" s="913"/>
      <c r="CJ2" s="913"/>
      <c r="CK2" s="913"/>
      <c r="CL2" s="913"/>
      <c r="CM2" s="913"/>
      <c r="CN2" s="913"/>
      <c r="CO2" s="913"/>
      <c r="CP2" s="913"/>
      <c r="CQ2" s="913"/>
      <c r="CR2" s="913"/>
      <c r="CS2" s="913"/>
      <c r="CT2" s="913"/>
      <c r="CU2" s="913"/>
      <c r="CV2" s="913"/>
      <c r="CW2" s="913"/>
      <c r="CX2" s="913"/>
      <c r="CY2" s="913"/>
      <c r="CZ2" s="913"/>
      <c r="DA2" s="913"/>
      <c r="DB2" s="913"/>
      <c r="DC2"/>
      <c r="DD2"/>
      <c r="DE2"/>
      <c r="DF2"/>
      <c r="DG2"/>
    </row>
    <row r="3" spans="1:210" ht="15" hidden="1">
      <c r="G3" s="913" t="s">
        <v>296</v>
      </c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  <c r="X3" s="913"/>
      <c r="Y3" s="913"/>
      <c r="Z3" s="913"/>
      <c r="AA3" s="913"/>
      <c r="AB3" s="913"/>
      <c r="AC3" s="913"/>
      <c r="AD3" s="913"/>
      <c r="AE3" s="913"/>
      <c r="AF3" s="913"/>
      <c r="AG3" s="913"/>
      <c r="AH3" s="913"/>
      <c r="AI3" s="913"/>
      <c r="AJ3" s="913"/>
      <c r="AK3" s="913"/>
      <c r="AL3" s="913"/>
      <c r="AM3" s="913"/>
      <c r="AN3" s="913"/>
      <c r="AO3" s="913"/>
      <c r="AP3" s="913"/>
      <c r="AQ3" s="913"/>
      <c r="AR3" s="913"/>
      <c r="AS3" s="913"/>
      <c r="AT3" s="913"/>
      <c r="AU3" s="913"/>
      <c r="AV3" s="913"/>
      <c r="AW3" s="913"/>
      <c r="AX3" s="913"/>
      <c r="AY3" s="913"/>
      <c r="AZ3" s="913"/>
      <c r="BA3" s="913"/>
      <c r="BB3" s="913"/>
      <c r="BC3" s="913"/>
      <c r="BD3" s="913"/>
      <c r="BE3" s="913"/>
      <c r="BF3" s="913"/>
      <c r="BG3" s="913"/>
      <c r="BH3" s="913"/>
      <c r="BI3" s="913"/>
      <c r="BJ3" s="913"/>
      <c r="BK3" s="913"/>
      <c r="BL3" s="913"/>
      <c r="BM3" s="913"/>
      <c r="BN3" s="913"/>
      <c r="BO3" s="913"/>
      <c r="BP3" s="913"/>
      <c r="BQ3" s="913"/>
      <c r="BR3" s="913"/>
      <c r="BS3" s="913"/>
      <c r="BT3" s="913"/>
      <c r="BU3" s="913"/>
      <c r="BV3" s="913"/>
      <c r="BW3" s="913"/>
      <c r="BX3" s="913"/>
      <c r="BY3" s="913"/>
      <c r="BZ3" s="913"/>
      <c r="CA3" s="913"/>
      <c r="CB3" s="913"/>
      <c r="CC3" s="913"/>
      <c r="CD3" s="913"/>
      <c r="CE3" s="913"/>
      <c r="CF3" s="913"/>
      <c r="CG3" s="913"/>
      <c r="CH3" s="913"/>
      <c r="CI3" s="913"/>
      <c r="CJ3" s="913"/>
      <c r="CK3" s="913"/>
      <c r="CL3" s="913"/>
      <c r="CM3" s="913"/>
      <c r="CN3" s="913"/>
      <c r="CO3" s="913"/>
      <c r="CP3" s="913"/>
      <c r="CQ3" s="913"/>
      <c r="CR3" s="913"/>
      <c r="CS3" s="913"/>
      <c r="CT3" s="913"/>
      <c r="CU3" s="913"/>
      <c r="CV3" s="913"/>
      <c r="CW3" s="913"/>
      <c r="CX3" s="913"/>
      <c r="CY3" s="913"/>
      <c r="CZ3" s="913"/>
      <c r="DA3" s="913"/>
      <c r="DB3" s="913"/>
      <c r="DC3"/>
      <c r="DD3"/>
      <c r="DE3"/>
      <c r="DF3"/>
      <c r="DG3"/>
    </row>
    <row r="4" spans="1:210" ht="15" hidden="1">
      <c r="G4" s="913" t="s">
        <v>297</v>
      </c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913"/>
      <c r="U4" s="913"/>
      <c r="V4" s="913"/>
      <c r="W4" s="913"/>
      <c r="X4" s="913"/>
      <c r="Y4" s="913"/>
      <c r="Z4" s="913"/>
      <c r="AA4" s="913"/>
      <c r="AB4" s="913"/>
      <c r="AC4" s="913"/>
      <c r="AD4" s="913"/>
      <c r="AE4" s="913"/>
      <c r="AF4" s="913"/>
      <c r="AG4" s="913"/>
      <c r="AH4" s="913"/>
      <c r="AI4" s="913"/>
      <c r="AJ4" s="913"/>
      <c r="AK4" s="913"/>
      <c r="AL4" s="913"/>
      <c r="AM4" s="913"/>
      <c r="AN4" s="913"/>
      <c r="AO4" s="913"/>
      <c r="AP4" s="913"/>
      <c r="AQ4" s="913"/>
      <c r="AR4" s="913"/>
      <c r="AS4" s="913"/>
      <c r="AT4" s="913"/>
      <c r="AU4" s="913"/>
      <c r="AV4" s="913"/>
      <c r="AW4" s="913"/>
      <c r="AX4" s="913"/>
      <c r="AY4" s="913"/>
      <c r="AZ4" s="913"/>
      <c r="BA4" s="913"/>
      <c r="BB4" s="913"/>
      <c r="BC4" s="913"/>
      <c r="BD4" s="913"/>
      <c r="BE4" s="913"/>
      <c r="BF4" s="913"/>
      <c r="BG4" s="913"/>
      <c r="BH4" s="913"/>
      <c r="BI4" s="913"/>
      <c r="BJ4" s="913"/>
      <c r="BK4" s="913"/>
      <c r="BL4" s="913"/>
      <c r="BM4" s="913"/>
      <c r="BN4" s="913"/>
      <c r="BO4" s="913"/>
      <c r="BP4" s="913"/>
      <c r="BQ4" s="913"/>
      <c r="BR4" s="913"/>
      <c r="BS4" s="913"/>
      <c r="BT4" s="913"/>
      <c r="BU4" s="913"/>
      <c r="BV4" s="913"/>
      <c r="BW4" s="913"/>
      <c r="BX4" s="913"/>
      <c r="BY4" s="913"/>
      <c r="BZ4" s="913"/>
      <c r="CA4" s="913"/>
      <c r="CB4" s="913"/>
      <c r="CC4" s="913"/>
      <c r="CD4" s="913"/>
      <c r="CE4" s="913"/>
      <c r="CF4" s="913"/>
      <c r="CG4" s="913"/>
      <c r="CH4" s="913"/>
      <c r="CI4" s="913"/>
      <c r="CJ4" s="913"/>
      <c r="CK4" s="913"/>
      <c r="CL4" s="913"/>
      <c r="CM4" s="913"/>
      <c r="CN4" s="913"/>
      <c r="CO4" s="913"/>
      <c r="CP4" s="913"/>
      <c r="CQ4" s="913"/>
      <c r="CR4" s="913"/>
      <c r="CS4" s="913"/>
      <c r="CT4" s="913"/>
      <c r="CU4" s="913"/>
      <c r="CV4" s="913"/>
      <c r="CW4" s="913"/>
      <c r="CX4" s="913"/>
      <c r="CY4" s="913"/>
      <c r="CZ4" s="913"/>
      <c r="DA4" s="913"/>
      <c r="DB4" s="913"/>
      <c r="DC4"/>
      <c r="DD4"/>
      <c r="DE4"/>
      <c r="DF4"/>
      <c r="DG4"/>
    </row>
    <row r="5" spans="1:210" ht="15" hidden="1">
      <c r="G5" s="913" t="s">
        <v>304</v>
      </c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  <c r="AN5" s="913"/>
      <c r="AO5" s="913"/>
      <c r="AP5" s="913"/>
      <c r="AQ5" s="913"/>
      <c r="AR5" s="913"/>
      <c r="AS5" s="913"/>
      <c r="AT5" s="913"/>
      <c r="AU5" s="913"/>
      <c r="AV5" s="913"/>
      <c r="AW5" s="913"/>
      <c r="AX5" s="913"/>
      <c r="AY5" s="913"/>
      <c r="AZ5" s="913"/>
      <c r="BA5" s="913"/>
      <c r="BB5" s="913"/>
      <c r="BC5" s="913"/>
      <c r="BD5" s="913"/>
      <c r="BE5" s="913"/>
      <c r="BF5" s="913"/>
      <c r="BG5" s="913"/>
      <c r="BH5" s="913"/>
      <c r="BI5" s="913"/>
      <c r="BJ5" s="913"/>
      <c r="BK5" s="913"/>
      <c r="BL5" s="913"/>
      <c r="BM5" s="913"/>
      <c r="BN5" s="913"/>
      <c r="BO5" s="913"/>
      <c r="BP5" s="913"/>
      <c r="BQ5" s="913"/>
      <c r="BR5" s="913"/>
      <c r="BS5" s="913"/>
      <c r="BT5" s="913"/>
      <c r="BU5" s="913"/>
      <c r="BV5" s="913"/>
      <c r="BW5" s="913"/>
      <c r="BX5" s="913"/>
      <c r="BY5" s="913"/>
      <c r="BZ5" s="913"/>
      <c r="CA5" s="913"/>
      <c r="CB5" s="913"/>
      <c r="CC5" s="913"/>
      <c r="CD5" s="913"/>
      <c r="CE5" s="913"/>
      <c r="CF5" s="913"/>
      <c r="CG5" s="913"/>
      <c r="CH5" s="913"/>
      <c r="CI5" s="913"/>
      <c r="CJ5" s="913"/>
      <c r="CK5" s="913"/>
      <c r="CL5" s="913"/>
      <c r="CM5" s="913"/>
      <c r="CN5" s="913"/>
      <c r="CO5" s="913"/>
      <c r="CP5" s="913"/>
      <c r="CQ5" s="913"/>
      <c r="CR5" s="913"/>
      <c r="CS5" s="913"/>
      <c r="CT5" s="913"/>
      <c r="CU5" s="913"/>
      <c r="CV5" s="913"/>
      <c r="CW5" s="913"/>
      <c r="CX5" s="913"/>
      <c r="CY5" s="913"/>
      <c r="CZ5" s="913"/>
      <c r="DA5" s="913"/>
      <c r="DB5" s="913"/>
      <c r="DC5"/>
      <c r="DD5"/>
      <c r="DE5"/>
      <c r="DF5"/>
      <c r="DG5"/>
    </row>
    <row r="6" spans="1:210" hidden="1"/>
    <row r="7" spans="1:210" s="783" customFormat="1">
      <c r="A7" s="780"/>
      <c r="B7" s="43"/>
      <c r="C7" s="781"/>
      <c r="D7" s="782"/>
      <c r="E7" s="782"/>
      <c r="F7" s="912" t="s">
        <v>295</v>
      </c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2"/>
      <c r="U7" s="912"/>
      <c r="V7" s="912"/>
      <c r="W7" s="912"/>
      <c r="X7" s="912"/>
      <c r="Y7" s="912"/>
      <c r="Z7" s="912"/>
      <c r="AA7" s="912"/>
      <c r="AB7" s="912"/>
      <c r="AC7" s="912"/>
      <c r="AD7" s="912"/>
      <c r="AE7" s="912"/>
      <c r="AF7" s="912"/>
      <c r="AG7" s="912"/>
      <c r="AH7" s="912"/>
      <c r="AI7" s="912"/>
      <c r="AJ7" s="912"/>
      <c r="AK7" s="912"/>
      <c r="AL7" s="912"/>
      <c r="AM7" s="912"/>
      <c r="AN7" s="912"/>
      <c r="AO7" s="912"/>
      <c r="AP7" s="912"/>
      <c r="AQ7" s="912"/>
      <c r="AR7" s="912"/>
      <c r="AS7" s="912"/>
      <c r="AT7" s="912"/>
      <c r="AU7" s="912"/>
      <c r="AV7" s="912"/>
      <c r="AW7" s="912"/>
      <c r="AX7" s="912"/>
      <c r="AY7" s="912"/>
      <c r="AZ7" s="912"/>
      <c r="BA7" s="912"/>
      <c r="BB7" s="912"/>
      <c r="BC7" s="912"/>
      <c r="BD7" s="912"/>
      <c r="BE7" s="912"/>
      <c r="BF7" s="912"/>
      <c r="BG7" s="912"/>
      <c r="BH7" s="912"/>
      <c r="BI7" s="912"/>
      <c r="BJ7" s="912"/>
      <c r="BK7" s="912"/>
      <c r="BL7" s="912"/>
      <c r="BM7" s="912"/>
      <c r="BN7" s="912"/>
      <c r="BO7" s="912"/>
      <c r="BP7" s="912"/>
      <c r="BQ7" s="912"/>
      <c r="BR7" s="912"/>
      <c r="BS7" s="912"/>
      <c r="BT7" s="912"/>
      <c r="BU7" s="912"/>
      <c r="BV7" s="912"/>
      <c r="BW7" s="912"/>
      <c r="BX7" s="912"/>
      <c r="BY7" s="912"/>
      <c r="BZ7" s="912"/>
      <c r="CA7" s="912"/>
      <c r="CB7" s="912"/>
      <c r="CC7" s="912"/>
      <c r="CD7" s="912"/>
      <c r="CE7" s="912"/>
      <c r="CF7" s="912"/>
      <c r="CG7" s="912"/>
      <c r="CH7" s="912"/>
      <c r="CI7" s="912"/>
      <c r="CJ7" s="912"/>
      <c r="CK7" s="912"/>
      <c r="CL7" s="912"/>
      <c r="CM7" s="912"/>
      <c r="CN7" s="912"/>
      <c r="CO7" s="912"/>
      <c r="CP7" s="912"/>
      <c r="CQ7" s="912"/>
      <c r="CR7" s="912"/>
      <c r="CS7" s="912"/>
      <c r="CT7" s="912"/>
      <c r="CU7" s="912"/>
      <c r="CV7" s="912"/>
      <c r="CW7" s="912"/>
      <c r="CX7" s="912"/>
      <c r="CY7" s="912"/>
      <c r="CZ7" s="912"/>
      <c r="DA7" s="912"/>
      <c r="DC7" s="895" t="s">
        <v>295</v>
      </c>
      <c r="DD7" s="895"/>
      <c r="DE7" s="895"/>
      <c r="DF7" s="895"/>
      <c r="DG7" s="784"/>
      <c r="DH7" s="785"/>
      <c r="DI7" s="785"/>
      <c r="DJ7" s="785"/>
      <c r="DK7" s="785"/>
      <c r="DL7" s="785"/>
      <c r="DM7" s="785"/>
      <c r="DN7" s="785"/>
      <c r="DO7" s="785"/>
      <c r="DP7" s="785"/>
      <c r="DQ7" s="785"/>
      <c r="DR7" s="785"/>
      <c r="DS7" s="785"/>
      <c r="DT7" s="785"/>
      <c r="DU7" s="785"/>
      <c r="DV7" s="785"/>
      <c r="DW7" s="785"/>
      <c r="DX7" s="785"/>
      <c r="DY7" s="785"/>
      <c r="DZ7" s="785"/>
      <c r="EA7" s="785"/>
      <c r="EB7" s="785"/>
      <c r="EC7" s="785"/>
      <c r="ED7" s="785"/>
      <c r="EE7" s="785"/>
      <c r="EF7" s="785"/>
      <c r="EG7" s="785"/>
      <c r="EH7" s="785"/>
      <c r="EI7" s="785"/>
      <c r="EJ7" s="785"/>
      <c r="EK7" s="785"/>
      <c r="EL7" s="785"/>
      <c r="EM7" s="785"/>
      <c r="EN7" s="785"/>
      <c r="EO7" s="785"/>
      <c r="EP7" s="785"/>
      <c r="EQ7" s="785"/>
      <c r="ER7" s="785"/>
      <c r="ES7" s="785"/>
      <c r="ET7" s="785"/>
      <c r="EU7" s="785"/>
      <c r="EV7" s="785"/>
      <c r="EW7" s="785"/>
      <c r="EX7" s="785"/>
      <c r="EY7" s="785"/>
      <c r="EZ7" s="785"/>
      <c r="FA7" s="785"/>
      <c r="FB7" s="785"/>
      <c r="FC7" s="785"/>
      <c r="FD7" s="785"/>
      <c r="FE7" s="785"/>
      <c r="FF7" s="785"/>
      <c r="FG7" s="785"/>
      <c r="FH7" s="785"/>
      <c r="FI7" s="785"/>
      <c r="FJ7" s="785"/>
      <c r="FK7" s="785"/>
      <c r="FL7" s="785"/>
      <c r="FM7" s="785"/>
      <c r="FN7" s="785"/>
      <c r="FO7" s="785"/>
      <c r="FP7" s="785"/>
      <c r="FQ7" s="785"/>
      <c r="FR7" s="785"/>
      <c r="FS7" s="785"/>
      <c r="FT7" s="785"/>
      <c r="FU7" s="785"/>
      <c r="FV7" s="785"/>
      <c r="FW7" s="785"/>
      <c r="FX7" s="785"/>
      <c r="FY7" s="785"/>
      <c r="FZ7" s="785"/>
      <c r="GA7" s="785"/>
      <c r="GB7" s="785"/>
      <c r="GC7" s="785"/>
      <c r="GD7" s="785"/>
      <c r="GE7" s="785"/>
      <c r="GF7" s="785"/>
      <c r="GG7" s="785"/>
      <c r="GH7" s="785"/>
      <c r="GI7" s="785"/>
      <c r="GJ7" s="785"/>
      <c r="GK7" s="785"/>
      <c r="GL7" s="785"/>
      <c r="GM7" s="785"/>
      <c r="GN7" s="785"/>
      <c r="GO7" s="785"/>
      <c r="GP7" s="785"/>
      <c r="GQ7" s="785"/>
      <c r="GR7" s="785"/>
      <c r="GS7" s="785"/>
      <c r="GT7" s="785"/>
      <c r="GU7" s="785"/>
      <c r="GV7" s="785"/>
      <c r="GW7" s="785"/>
      <c r="GX7" s="785"/>
      <c r="GY7" s="785"/>
      <c r="GZ7" s="785"/>
      <c r="HA7" s="785"/>
      <c r="HB7" s="785"/>
    </row>
    <row r="8" spans="1:210" s="783" customFormat="1">
      <c r="A8" s="780"/>
      <c r="B8" s="43"/>
      <c r="C8" s="781"/>
      <c r="D8" s="782"/>
      <c r="E8" s="782"/>
      <c r="F8" s="912" t="s">
        <v>303</v>
      </c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2"/>
      <c r="U8" s="912"/>
      <c r="V8" s="912"/>
      <c r="W8" s="912"/>
      <c r="X8" s="912"/>
      <c r="Y8" s="912"/>
      <c r="Z8" s="912"/>
      <c r="AA8" s="912"/>
      <c r="AB8" s="912"/>
      <c r="AC8" s="912"/>
      <c r="AD8" s="912"/>
      <c r="AE8" s="912"/>
      <c r="AF8" s="912"/>
      <c r="AG8" s="912"/>
      <c r="AH8" s="912"/>
      <c r="AI8" s="912"/>
      <c r="AJ8" s="912"/>
      <c r="AK8" s="912"/>
      <c r="AL8" s="912"/>
      <c r="AM8" s="912"/>
      <c r="AN8" s="912"/>
      <c r="AO8" s="912"/>
      <c r="AP8" s="912"/>
      <c r="AQ8" s="912"/>
      <c r="AR8" s="912"/>
      <c r="AS8" s="912"/>
      <c r="AT8" s="912"/>
      <c r="AU8" s="912"/>
      <c r="AV8" s="912"/>
      <c r="AW8" s="912"/>
      <c r="AX8" s="912"/>
      <c r="AY8" s="912"/>
      <c r="AZ8" s="912"/>
      <c r="BA8" s="912"/>
      <c r="BB8" s="912"/>
      <c r="BC8" s="912"/>
      <c r="BD8" s="912"/>
      <c r="BE8" s="912"/>
      <c r="BF8" s="912"/>
      <c r="BG8" s="912"/>
      <c r="BH8" s="912"/>
      <c r="BI8" s="912"/>
      <c r="BJ8" s="912"/>
      <c r="BK8" s="912"/>
      <c r="BL8" s="912"/>
      <c r="BM8" s="912"/>
      <c r="BN8" s="912"/>
      <c r="BO8" s="912"/>
      <c r="BP8" s="912"/>
      <c r="BQ8" s="912"/>
      <c r="BR8" s="912"/>
      <c r="BS8" s="912"/>
      <c r="BT8" s="912"/>
      <c r="BU8" s="912"/>
      <c r="BV8" s="912"/>
      <c r="BW8" s="912"/>
      <c r="BX8" s="912"/>
      <c r="BY8" s="912"/>
      <c r="BZ8" s="912"/>
      <c r="CA8" s="912"/>
      <c r="CB8" s="912"/>
      <c r="CC8" s="912"/>
      <c r="CD8" s="912"/>
      <c r="CE8" s="912"/>
      <c r="CF8" s="912"/>
      <c r="CG8" s="912"/>
      <c r="CH8" s="912"/>
      <c r="CI8" s="912"/>
      <c r="CJ8" s="912"/>
      <c r="CK8" s="912"/>
      <c r="CL8" s="912"/>
      <c r="CM8" s="912"/>
      <c r="CN8" s="912"/>
      <c r="CO8" s="912"/>
      <c r="CP8" s="912"/>
      <c r="CQ8" s="912"/>
      <c r="CR8" s="912"/>
      <c r="CS8" s="912"/>
      <c r="CT8" s="912"/>
      <c r="CU8" s="912"/>
      <c r="CV8" s="912"/>
      <c r="CW8" s="912"/>
      <c r="CX8" s="912"/>
      <c r="CY8" s="912"/>
      <c r="CZ8" s="912"/>
      <c r="DA8" s="912"/>
      <c r="DC8" s="895" t="s">
        <v>303</v>
      </c>
      <c r="DD8" s="895"/>
      <c r="DE8" s="895"/>
      <c r="DF8" s="895"/>
      <c r="DG8" s="784"/>
      <c r="DH8" s="785"/>
      <c r="DI8" s="785"/>
      <c r="DJ8" s="785"/>
      <c r="DK8" s="785"/>
      <c r="DL8" s="785"/>
      <c r="DM8" s="785"/>
      <c r="DN8" s="785"/>
      <c r="DO8" s="785"/>
      <c r="DP8" s="785"/>
      <c r="DQ8" s="785"/>
      <c r="DR8" s="785"/>
      <c r="DS8" s="785"/>
      <c r="DT8" s="785"/>
      <c r="DU8" s="785"/>
      <c r="DV8" s="785"/>
      <c r="DW8" s="785"/>
      <c r="DX8" s="785"/>
      <c r="DY8" s="785"/>
      <c r="DZ8" s="785"/>
      <c r="EA8" s="785"/>
      <c r="EB8" s="785"/>
      <c r="EC8" s="785"/>
      <c r="ED8" s="785"/>
      <c r="EE8" s="785"/>
      <c r="EF8" s="785"/>
      <c r="EG8" s="785"/>
      <c r="EH8" s="785"/>
      <c r="EI8" s="785"/>
      <c r="EJ8" s="785"/>
      <c r="EK8" s="785"/>
      <c r="EL8" s="785"/>
      <c r="EM8" s="785"/>
      <c r="EN8" s="785"/>
      <c r="EO8" s="785"/>
      <c r="EP8" s="785"/>
      <c r="EQ8" s="785"/>
      <c r="ER8" s="785"/>
      <c r="ES8" s="785"/>
      <c r="ET8" s="785"/>
      <c r="EU8" s="785"/>
      <c r="EV8" s="785"/>
      <c r="EW8" s="785"/>
      <c r="EX8" s="785"/>
      <c r="EY8" s="785"/>
      <c r="EZ8" s="785"/>
      <c r="FA8" s="785"/>
      <c r="FB8" s="785"/>
      <c r="FC8" s="785"/>
      <c r="FD8" s="785"/>
      <c r="FE8" s="785"/>
      <c r="FF8" s="785"/>
      <c r="FG8" s="785"/>
      <c r="FH8" s="785"/>
      <c r="FI8" s="785"/>
      <c r="FJ8" s="785"/>
      <c r="FK8" s="785"/>
      <c r="FL8" s="785"/>
      <c r="FM8" s="785"/>
      <c r="FN8" s="785"/>
      <c r="FO8" s="785"/>
      <c r="FP8" s="785"/>
      <c r="FQ8" s="785"/>
      <c r="FR8" s="785"/>
      <c r="FS8" s="785"/>
      <c r="FT8" s="785"/>
      <c r="FU8" s="785"/>
      <c r="FV8" s="785"/>
      <c r="FW8" s="785"/>
      <c r="FX8" s="785"/>
      <c r="FY8" s="785"/>
      <c r="FZ8" s="785"/>
      <c r="GA8" s="785"/>
      <c r="GB8" s="785"/>
      <c r="GC8" s="785"/>
      <c r="GD8" s="785"/>
      <c r="GE8" s="785"/>
      <c r="GF8" s="785"/>
      <c r="GG8" s="785"/>
      <c r="GH8" s="785"/>
      <c r="GI8" s="785"/>
      <c r="GJ8" s="785"/>
      <c r="GK8" s="785"/>
      <c r="GL8" s="785"/>
      <c r="GM8" s="785"/>
      <c r="GN8" s="785"/>
      <c r="GO8" s="785"/>
      <c r="GP8" s="785"/>
      <c r="GQ8" s="785"/>
      <c r="GR8" s="785"/>
      <c r="GS8" s="785"/>
      <c r="GT8" s="785"/>
      <c r="GU8" s="785"/>
      <c r="GV8" s="785"/>
      <c r="GW8" s="785"/>
      <c r="GX8" s="785"/>
      <c r="GY8" s="785"/>
      <c r="GZ8" s="785"/>
      <c r="HA8" s="785"/>
      <c r="HB8" s="785"/>
    </row>
    <row r="9" spans="1:210" s="783" customFormat="1">
      <c r="A9" s="780"/>
      <c r="B9" s="43"/>
      <c r="C9" s="781"/>
      <c r="D9" s="782"/>
      <c r="E9" s="782"/>
      <c r="F9" s="912" t="s">
        <v>296</v>
      </c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2"/>
      <c r="U9" s="912"/>
      <c r="V9" s="912"/>
      <c r="W9" s="912"/>
      <c r="X9" s="912"/>
      <c r="Y9" s="912"/>
      <c r="Z9" s="912"/>
      <c r="AA9" s="912"/>
      <c r="AB9" s="912"/>
      <c r="AC9" s="912"/>
      <c r="AD9" s="912"/>
      <c r="AE9" s="912"/>
      <c r="AF9" s="912"/>
      <c r="AG9" s="912"/>
      <c r="AH9" s="912"/>
      <c r="AI9" s="912"/>
      <c r="AJ9" s="912"/>
      <c r="AK9" s="912"/>
      <c r="AL9" s="912"/>
      <c r="AM9" s="912"/>
      <c r="AN9" s="912"/>
      <c r="AO9" s="912"/>
      <c r="AP9" s="912"/>
      <c r="AQ9" s="912"/>
      <c r="AR9" s="912"/>
      <c r="AS9" s="912"/>
      <c r="AT9" s="912"/>
      <c r="AU9" s="912"/>
      <c r="AV9" s="912"/>
      <c r="AW9" s="912"/>
      <c r="AX9" s="912"/>
      <c r="AY9" s="912"/>
      <c r="AZ9" s="912"/>
      <c r="BA9" s="912"/>
      <c r="BB9" s="912"/>
      <c r="BC9" s="912"/>
      <c r="BD9" s="912"/>
      <c r="BE9" s="912"/>
      <c r="BF9" s="912"/>
      <c r="BG9" s="912"/>
      <c r="BH9" s="912"/>
      <c r="BI9" s="912"/>
      <c r="BJ9" s="912"/>
      <c r="BK9" s="912"/>
      <c r="BL9" s="912"/>
      <c r="BM9" s="912"/>
      <c r="BN9" s="912"/>
      <c r="BO9" s="912"/>
      <c r="BP9" s="912"/>
      <c r="BQ9" s="912"/>
      <c r="BR9" s="912"/>
      <c r="BS9" s="912"/>
      <c r="BT9" s="912"/>
      <c r="BU9" s="912"/>
      <c r="BV9" s="912"/>
      <c r="BW9" s="912"/>
      <c r="BX9" s="912"/>
      <c r="BY9" s="912"/>
      <c r="BZ9" s="912"/>
      <c r="CA9" s="912"/>
      <c r="CB9" s="912"/>
      <c r="CC9" s="912"/>
      <c r="CD9" s="912"/>
      <c r="CE9" s="912"/>
      <c r="CF9" s="912"/>
      <c r="CG9" s="912"/>
      <c r="CH9" s="912"/>
      <c r="CI9" s="912"/>
      <c r="CJ9" s="912"/>
      <c r="CK9" s="912"/>
      <c r="CL9" s="912"/>
      <c r="CM9" s="912"/>
      <c r="CN9" s="912"/>
      <c r="CO9" s="912"/>
      <c r="CP9" s="912"/>
      <c r="CQ9" s="912"/>
      <c r="CR9" s="912"/>
      <c r="CS9" s="912"/>
      <c r="CT9" s="912"/>
      <c r="CU9" s="912"/>
      <c r="CV9" s="912"/>
      <c r="CW9" s="912"/>
      <c r="CX9" s="912"/>
      <c r="CY9" s="912"/>
      <c r="CZ9" s="912"/>
      <c r="DA9" s="912"/>
      <c r="DC9" s="895" t="s">
        <v>296</v>
      </c>
      <c r="DD9" s="895"/>
      <c r="DE9" s="895"/>
      <c r="DF9" s="895"/>
      <c r="DG9" s="784"/>
      <c r="DH9" s="785"/>
      <c r="DI9" s="785"/>
      <c r="DJ9" s="785"/>
      <c r="DK9" s="785"/>
      <c r="DL9" s="785"/>
      <c r="DM9" s="785"/>
      <c r="DN9" s="785"/>
      <c r="DO9" s="785"/>
      <c r="DP9" s="785"/>
      <c r="DQ9" s="785"/>
      <c r="DR9" s="785"/>
      <c r="DS9" s="785"/>
      <c r="DT9" s="785"/>
      <c r="DU9" s="785"/>
      <c r="DV9" s="785"/>
      <c r="DW9" s="785"/>
      <c r="DX9" s="785"/>
      <c r="DY9" s="785"/>
      <c r="DZ9" s="785"/>
      <c r="EA9" s="785"/>
      <c r="EB9" s="785"/>
      <c r="EC9" s="785"/>
      <c r="ED9" s="785"/>
      <c r="EE9" s="785"/>
      <c r="EF9" s="785"/>
      <c r="EG9" s="785"/>
      <c r="EH9" s="785"/>
      <c r="EI9" s="785"/>
      <c r="EJ9" s="785"/>
      <c r="EK9" s="785"/>
      <c r="EL9" s="785"/>
      <c r="EM9" s="785"/>
      <c r="EN9" s="785"/>
      <c r="EO9" s="785"/>
      <c r="EP9" s="785"/>
      <c r="EQ9" s="785"/>
      <c r="ER9" s="785"/>
      <c r="ES9" s="785"/>
      <c r="ET9" s="785"/>
      <c r="EU9" s="785"/>
      <c r="EV9" s="785"/>
      <c r="EW9" s="785"/>
      <c r="EX9" s="785"/>
      <c r="EY9" s="785"/>
      <c r="EZ9" s="785"/>
      <c r="FA9" s="785"/>
      <c r="FB9" s="785"/>
      <c r="FC9" s="785"/>
      <c r="FD9" s="785"/>
      <c r="FE9" s="785"/>
      <c r="FF9" s="785"/>
      <c r="FG9" s="785"/>
      <c r="FH9" s="785"/>
      <c r="FI9" s="785"/>
      <c r="FJ9" s="785"/>
      <c r="FK9" s="785"/>
      <c r="FL9" s="785"/>
      <c r="FM9" s="785"/>
      <c r="FN9" s="785"/>
      <c r="FO9" s="785"/>
      <c r="FP9" s="785"/>
      <c r="FQ9" s="785"/>
      <c r="FR9" s="785"/>
      <c r="FS9" s="785"/>
      <c r="FT9" s="785"/>
      <c r="FU9" s="785"/>
      <c r="FV9" s="785"/>
      <c r="FW9" s="785"/>
      <c r="FX9" s="785"/>
      <c r="FY9" s="785"/>
      <c r="FZ9" s="785"/>
      <c r="GA9" s="785"/>
      <c r="GB9" s="785"/>
      <c r="GC9" s="785"/>
      <c r="GD9" s="785"/>
      <c r="GE9" s="785"/>
      <c r="GF9" s="785"/>
      <c r="GG9" s="785"/>
      <c r="GH9" s="785"/>
      <c r="GI9" s="785"/>
      <c r="GJ9" s="785"/>
      <c r="GK9" s="785"/>
      <c r="GL9" s="785"/>
      <c r="GM9" s="785"/>
      <c r="GN9" s="785"/>
      <c r="GO9" s="785"/>
      <c r="GP9" s="785"/>
      <c r="GQ9" s="785"/>
      <c r="GR9" s="785"/>
      <c r="GS9" s="785"/>
      <c r="GT9" s="785"/>
      <c r="GU9" s="785"/>
      <c r="GV9" s="785"/>
      <c r="GW9" s="785"/>
      <c r="GX9" s="785"/>
      <c r="GY9" s="785"/>
      <c r="GZ9" s="785"/>
      <c r="HA9" s="785"/>
      <c r="HB9" s="785"/>
    </row>
    <row r="10" spans="1:210" s="783" customFormat="1">
      <c r="A10" s="780"/>
      <c r="B10" s="43"/>
      <c r="C10" s="781"/>
      <c r="D10" s="782"/>
      <c r="E10" s="782"/>
      <c r="F10" s="912" t="s">
        <v>297</v>
      </c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2"/>
      <c r="X10" s="912"/>
      <c r="Y10" s="912"/>
      <c r="Z10" s="912"/>
      <c r="AA10" s="912"/>
      <c r="AB10" s="912"/>
      <c r="AC10" s="912"/>
      <c r="AD10" s="912"/>
      <c r="AE10" s="912"/>
      <c r="AF10" s="912"/>
      <c r="AG10" s="912"/>
      <c r="AH10" s="912"/>
      <c r="AI10" s="912"/>
      <c r="AJ10" s="912"/>
      <c r="AK10" s="912"/>
      <c r="AL10" s="912"/>
      <c r="AM10" s="912"/>
      <c r="AN10" s="912"/>
      <c r="AO10" s="912"/>
      <c r="AP10" s="912"/>
      <c r="AQ10" s="912"/>
      <c r="AR10" s="912"/>
      <c r="AS10" s="912"/>
      <c r="AT10" s="912"/>
      <c r="AU10" s="912"/>
      <c r="AV10" s="912"/>
      <c r="AW10" s="912"/>
      <c r="AX10" s="912"/>
      <c r="AY10" s="912"/>
      <c r="AZ10" s="912"/>
      <c r="BA10" s="912"/>
      <c r="BB10" s="912"/>
      <c r="BC10" s="912"/>
      <c r="BD10" s="912"/>
      <c r="BE10" s="912"/>
      <c r="BF10" s="912"/>
      <c r="BG10" s="912"/>
      <c r="BH10" s="912"/>
      <c r="BI10" s="912"/>
      <c r="BJ10" s="912"/>
      <c r="BK10" s="912"/>
      <c r="BL10" s="912"/>
      <c r="BM10" s="912"/>
      <c r="BN10" s="912"/>
      <c r="BO10" s="912"/>
      <c r="BP10" s="912"/>
      <c r="BQ10" s="912"/>
      <c r="BR10" s="912"/>
      <c r="BS10" s="912"/>
      <c r="BT10" s="912"/>
      <c r="BU10" s="912"/>
      <c r="BV10" s="912"/>
      <c r="BW10" s="912"/>
      <c r="BX10" s="912"/>
      <c r="BY10" s="912"/>
      <c r="BZ10" s="912"/>
      <c r="CA10" s="912"/>
      <c r="CB10" s="912"/>
      <c r="CC10" s="912"/>
      <c r="CD10" s="912"/>
      <c r="CE10" s="912"/>
      <c r="CF10" s="912"/>
      <c r="CG10" s="912"/>
      <c r="CH10" s="912"/>
      <c r="CI10" s="912"/>
      <c r="CJ10" s="912"/>
      <c r="CK10" s="912"/>
      <c r="CL10" s="912"/>
      <c r="CM10" s="912"/>
      <c r="CN10" s="912"/>
      <c r="CO10" s="912"/>
      <c r="CP10" s="912"/>
      <c r="CQ10" s="912"/>
      <c r="CR10" s="912"/>
      <c r="CS10" s="912"/>
      <c r="CT10" s="912"/>
      <c r="CU10" s="912"/>
      <c r="CV10" s="912"/>
      <c r="CW10" s="912"/>
      <c r="CX10" s="912"/>
      <c r="CY10" s="912"/>
      <c r="CZ10" s="912"/>
      <c r="DA10" s="912"/>
      <c r="DC10" s="895" t="s">
        <v>350</v>
      </c>
      <c r="DD10" s="895"/>
      <c r="DE10" s="895"/>
      <c r="DF10" s="895"/>
      <c r="DG10" s="784"/>
      <c r="DH10" s="785"/>
      <c r="DI10" s="785"/>
      <c r="DJ10" s="785"/>
      <c r="DK10" s="785"/>
      <c r="DL10" s="785"/>
      <c r="DM10" s="785"/>
      <c r="DN10" s="785"/>
      <c r="DO10" s="785"/>
      <c r="DP10" s="785"/>
      <c r="DQ10" s="785"/>
      <c r="DR10" s="785"/>
      <c r="DS10" s="785"/>
      <c r="DT10" s="785"/>
      <c r="DU10" s="785"/>
      <c r="DV10" s="785"/>
      <c r="DW10" s="785"/>
      <c r="DX10" s="785"/>
      <c r="DY10" s="785"/>
      <c r="DZ10" s="785"/>
      <c r="EA10" s="785"/>
      <c r="EB10" s="785"/>
      <c r="EC10" s="785"/>
      <c r="ED10" s="785"/>
      <c r="EE10" s="785"/>
      <c r="EF10" s="785"/>
      <c r="EG10" s="785"/>
      <c r="EH10" s="785"/>
      <c r="EI10" s="785"/>
      <c r="EJ10" s="785"/>
      <c r="EK10" s="785"/>
      <c r="EL10" s="785"/>
      <c r="EM10" s="785"/>
      <c r="EN10" s="785"/>
      <c r="EO10" s="785"/>
      <c r="EP10" s="785"/>
      <c r="EQ10" s="785"/>
      <c r="ER10" s="785"/>
      <c r="ES10" s="785"/>
      <c r="ET10" s="785"/>
      <c r="EU10" s="785"/>
      <c r="EV10" s="785"/>
      <c r="EW10" s="785"/>
      <c r="EX10" s="785"/>
      <c r="EY10" s="785"/>
      <c r="EZ10" s="785"/>
      <c r="FA10" s="785"/>
      <c r="FB10" s="785"/>
      <c r="FC10" s="785"/>
      <c r="FD10" s="785"/>
      <c r="FE10" s="785"/>
      <c r="FF10" s="785"/>
      <c r="FG10" s="785"/>
      <c r="FH10" s="785"/>
      <c r="FI10" s="785"/>
      <c r="FJ10" s="785"/>
      <c r="FK10" s="785"/>
      <c r="FL10" s="785"/>
      <c r="FM10" s="785"/>
      <c r="FN10" s="785"/>
      <c r="FO10" s="785"/>
      <c r="FP10" s="785"/>
      <c r="FQ10" s="785"/>
      <c r="FR10" s="785"/>
      <c r="FS10" s="785"/>
      <c r="FT10" s="785"/>
      <c r="FU10" s="785"/>
      <c r="FV10" s="785"/>
      <c r="FW10" s="785"/>
      <c r="FX10" s="785"/>
      <c r="FY10" s="785"/>
      <c r="FZ10" s="785"/>
      <c r="GA10" s="785"/>
      <c r="GB10" s="785"/>
      <c r="GC10" s="785"/>
      <c r="GD10" s="785"/>
      <c r="GE10" s="785"/>
      <c r="GF10" s="785"/>
      <c r="GG10" s="785"/>
      <c r="GH10" s="785"/>
      <c r="GI10" s="785"/>
      <c r="GJ10" s="785"/>
      <c r="GK10" s="785"/>
      <c r="GL10" s="785"/>
      <c r="GM10" s="785"/>
      <c r="GN10" s="785"/>
      <c r="GO10" s="785"/>
      <c r="GP10" s="785"/>
      <c r="GQ10" s="785"/>
      <c r="GR10" s="785"/>
      <c r="GS10" s="785"/>
      <c r="GT10" s="785"/>
      <c r="GU10" s="785"/>
      <c r="GV10" s="785"/>
      <c r="GW10" s="785"/>
      <c r="GX10" s="785"/>
      <c r="GY10" s="785"/>
      <c r="GZ10" s="785"/>
      <c r="HA10" s="785"/>
      <c r="HB10" s="785"/>
    </row>
    <row r="11" spans="1:210" s="783" customFormat="1">
      <c r="A11" s="780"/>
      <c r="B11" s="43"/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  <c r="AO11" s="785"/>
      <c r="AP11" s="785"/>
      <c r="AQ11" s="785"/>
      <c r="AR11" s="785"/>
      <c r="AS11" s="785"/>
      <c r="AT11" s="785"/>
      <c r="AU11" s="785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5"/>
      <c r="BS11" s="785"/>
      <c r="BT11" s="785"/>
      <c r="BU11" s="785"/>
      <c r="BV11" s="785"/>
      <c r="BW11" s="785"/>
      <c r="BX11" s="785"/>
      <c r="BY11" s="785"/>
      <c r="BZ11" s="785"/>
      <c r="CA11" s="785"/>
      <c r="CB11" s="785"/>
      <c r="CC11" s="785"/>
      <c r="CD11" s="785"/>
      <c r="CE11" s="785"/>
      <c r="CF11" s="785"/>
      <c r="CG11" s="785"/>
      <c r="CH11" s="785"/>
      <c r="CI11" s="785"/>
      <c r="CJ11" s="785"/>
      <c r="CK11" s="785"/>
      <c r="CL11" s="785"/>
      <c r="CM11" s="785"/>
      <c r="CN11" s="785"/>
      <c r="CO11" s="785"/>
      <c r="CP11" s="785"/>
      <c r="CQ11" s="785"/>
      <c r="CR11" s="785"/>
      <c r="CS11" s="785"/>
      <c r="CT11" s="785"/>
      <c r="CU11" s="785"/>
      <c r="CV11" s="785"/>
      <c r="CW11" s="785"/>
      <c r="CX11" s="785"/>
      <c r="CY11" s="785"/>
      <c r="CZ11" s="785"/>
      <c r="DA11" s="785"/>
      <c r="DB11" s="785"/>
      <c r="DC11" s="895" t="s">
        <v>349</v>
      </c>
      <c r="DD11" s="895"/>
      <c r="DE11" s="895"/>
      <c r="DF11" s="895"/>
      <c r="DG11" s="784"/>
      <c r="DH11" s="785"/>
      <c r="DI11" s="785"/>
      <c r="DJ11" s="785"/>
      <c r="DK11" s="785"/>
      <c r="DL11" s="785"/>
      <c r="DM11" s="785"/>
      <c r="DN11" s="785"/>
      <c r="DO11" s="785"/>
      <c r="DP11" s="785"/>
      <c r="DQ11" s="785"/>
      <c r="DR11" s="785"/>
      <c r="DS11" s="785"/>
      <c r="DT11" s="785"/>
      <c r="DU11" s="785"/>
      <c r="DV11" s="785"/>
      <c r="DW11" s="785"/>
      <c r="DX11" s="785"/>
      <c r="DY11" s="785"/>
      <c r="DZ11" s="785"/>
      <c r="EA11" s="785"/>
      <c r="EB11" s="785"/>
      <c r="EC11" s="785"/>
      <c r="ED11" s="785"/>
      <c r="EE11" s="785"/>
      <c r="EF11" s="785"/>
      <c r="EG11" s="785"/>
      <c r="EH11" s="785"/>
      <c r="EI11" s="785"/>
      <c r="EJ11" s="785"/>
      <c r="EK11" s="785"/>
      <c r="EL11" s="785"/>
      <c r="EM11" s="785"/>
      <c r="EN11" s="785"/>
      <c r="EO11" s="785"/>
      <c r="EP11" s="785"/>
      <c r="EQ11" s="785"/>
      <c r="ER11" s="785"/>
      <c r="ES11" s="785"/>
      <c r="ET11" s="785"/>
      <c r="EU11" s="785"/>
      <c r="EV11" s="785"/>
      <c r="EW11" s="785"/>
      <c r="EX11" s="785"/>
      <c r="EY11" s="785"/>
      <c r="EZ11" s="785"/>
      <c r="FA11" s="785"/>
      <c r="FB11" s="785"/>
      <c r="FC11" s="785"/>
      <c r="FD11" s="785"/>
      <c r="FE11" s="785"/>
      <c r="FF11" s="785"/>
      <c r="FG11" s="785"/>
      <c r="FH11" s="785"/>
      <c r="FI11" s="785"/>
      <c r="FJ11" s="785"/>
      <c r="FK11" s="785"/>
      <c r="FL11" s="785"/>
      <c r="FM11" s="785"/>
      <c r="FN11" s="785"/>
      <c r="FO11" s="785"/>
      <c r="FP11" s="785"/>
      <c r="FQ11" s="785"/>
      <c r="FR11" s="785"/>
      <c r="FS11" s="785"/>
      <c r="FT11" s="785"/>
      <c r="FU11" s="785"/>
      <c r="FV11" s="785"/>
      <c r="FW11" s="785"/>
      <c r="FX11" s="785"/>
      <c r="FY11" s="785"/>
      <c r="FZ11" s="785"/>
      <c r="GA11" s="785"/>
      <c r="GB11" s="785"/>
      <c r="GC11" s="785"/>
      <c r="GD11" s="785"/>
      <c r="GE11" s="785"/>
      <c r="GF11" s="785"/>
      <c r="GG11" s="785"/>
      <c r="GH11" s="785"/>
      <c r="GI11" s="785"/>
      <c r="GJ11" s="785"/>
      <c r="GK11" s="785"/>
      <c r="GL11" s="785"/>
      <c r="GM11" s="785"/>
      <c r="GN11" s="785"/>
      <c r="GO11" s="785"/>
      <c r="GP11" s="785"/>
      <c r="GQ11" s="785"/>
      <c r="GR11" s="785"/>
      <c r="GS11" s="785"/>
      <c r="GT11" s="785"/>
      <c r="GU11" s="785"/>
      <c r="GV11" s="785"/>
      <c r="GW11" s="785"/>
      <c r="GX11" s="785"/>
      <c r="GY11" s="785"/>
      <c r="GZ11" s="785"/>
      <c r="HA11" s="785"/>
      <c r="HB11" s="785"/>
    </row>
    <row r="12" spans="1:210" s="783" customFormat="1">
      <c r="A12" s="780"/>
      <c r="B12" s="43"/>
      <c r="C12" s="781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782"/>
      <c r="T12" s="782"/>
      <c r="U12" s="782"/>
      <c r="V12" s="782"/>
      <c r="W12" s="74"/>
      <c r="X12" s="786"/>
      <c r="Y12" s="782"/>
      <c r="Z12" s="782"/>
      <c r="AA12" s="782"/>
      <c r="AB12" s="782"/>
      <c r="AC12" s="782"/>
      <c r="AD12" s="782"/>
      <c r="AE12" s="782"/>
      <c r="AF12" s="782"/>
      <c r="AG12" s="782"/>
      <c r="AH12" s="782"/>
      <c r="AI12" s="74"/>
      <c r="AJ12" s="786"/>
      <c r="AK12" s="786"/>
      <c r="AL12" s="786"/>
      <c r="AM12" s="786"/>
      <c r="AN12" s="786"/>
      <c r="AO12" s="786"/>
      <c r="AP12" s="786"/>
      <c r="AQ12" s="786"/>
      <c r="AR12" s="786"/>
      <c r="AS12" s="786"/>
      <c r="AT12" s="786"/>
      <c r="AU12" s="786"/>
      <c r="AV12" s="786"/>
      <c r="AW12" s="786"/>
      <c r="AX12" s="786"/>
      <c r="AY12" s="786"/>
      <c r="AZ12" s="786"/>
      <c r="BA12" s="786"/>
      <c r="BB12" s="786"/>
      <c r="BC12" s="786"/>
      <c r="BD12" s="786"/>
      <c r="BE12" s="786"/>
      <c r="BF12" s="786"/>
      <c r="BG12" s="786"/>
      <c r="BH12" s="786"/>
      <c r="BI12" s="786"/>
      <c r="BJ12" s="786"/>
      <c r="BK12" s="785"/>
      <c r="BL12" s="785"/>
      <c r="BM12" s="74"/>
      <c r="BN12" s="786"/>
      <c r="BO12" s="785"/>
      <c r="BP12" s="785"/>
      <c r="BQ12" s="74"/>
      <c r="BR12" s="786"/>
      <c r="BS12" s="785"/>
      <c r="BT12" s="785"/>
      <c r="BU12" s="74"/>
      <c r="BV12" s="786"/>
      <c r="BW12" s="786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86"/>
      <c r="DA12" s="786"/>
    </row>
    <row r="13" spans="1:210" s="783" customFormat="1">
      <c r="A13" s="896" t="s">
        <v>282</v>
      </c>
      <c r="B13" s="896"/>
      <c r="C13" s="896"/>
      <c r="D13" s="896"/>
      <c r="E13" s="896"/>
      <c r="F13" s="896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6"/>
      <c r="AI13" s="896"/>
      <c r="AJ13" s="896"/>
      <c r="AK13" s="896"/>
      <c r="AL13" s="896"/>
      <c r="AM13" s="896"/>
      <c r="AN13" s="896"/>
      <c r="AO13" s="896"/>
      <c r="AP13" s="896"/>
      <c r="AQ13" s="896"/>
      <c r="AR13" s="896"/>
      <c r="AS13" s="896"/>
      <c r="AT13" s="896"/>
      <c r="AU13" s="896"/>
      <c r="AV13" s="896"/>
      <c r="AW13" s="896"/>
      <c r="AX13" s="896"/>
      <c r="AY13" s="896"/>
      <c r="AZ13" s="896"/>
      <c r="BA13" s="896"/>
      <c r="BB13" s="896"/>
      <c r="BC13" s="896"/>
      <c r="BD13" s="896"/>
      <c r="BE13" s="896"/>
      <c r="BF13" s="896"/>
      <c r="BG13" s="896"/>
      <c r="BH13" s="896"/>
      <c r="BI13" s="896"/>
      <c r="BJ13" s="896"/>
      <c r="BK13" s="896"/>
      <c r="BL13" s="896"/>
      <c r="BM13" s="896"/>
      <c r="BN13" s="896"/>
      <c r="BO13" s="896"/>
      <c r="BP13" s="896"/>
      <c r="BQ13" s="896"/>
      <c r="BR13" s="896"/>
      <c r="BS13" s="896"/>
      <c r="BT13" s="896"/>
      <c r="BU13" s="896"/>
      <c r="BV13" s="896"/>
      <c r="BW13" s="896"/>
      <c r="BX13" s="896"/>
      <c r="BY13" s="896"/>
      <c r="BZ13" s="896"/>
      <c r="CA13" s="896"/>
      <c r="CB13" s="896"/>
      <c r="CC13" s="896"/>
      <c r="CD13" s="896"/>
      <c r="CE13" s="896"/>
      <c r="CF13" s="896"/>
      <c r="CG13" s="896"/>
      <c r="CH13" s="896"/>
      <c r="CI13" s="896"/>
      <c r="CJ13" s="896"/>
      <c r="CK13" s="896"/>
      <c r="CL13" s="896"/>
      <c r="CM13" s="896"/>
      <c r="CN13" s="896"/>
      <c r="CO13" s="896"/>
      <c r="CP13" s="896"/>
      <c r="CQ13" s="896"/>
      <c r="CR13" s="896"/>
      <c r="CS13" s="896"/>
      <c r="CT13" s="896"/>
      <c r="CU13" s="896"/>
      <c r="CV13" s="896"/>
      <c r="CW13" s="896"/>
      <c r="CX13" s="896"/>
      <c r="CY13" s="896"/>
      <c r="CZ13" s="896"/>
      <c r="DA13" s="896"/>
      <c r="DB13" s="896"/>
      <c r="DC13" s="896"/>
      <c r="DD13" s="896"/>
      <c r="DE13" s="896"/>
      <c r="DF13" s="896"/>
      <c r="DG13" s="787"/>
      <c r="DJ13" s="788"/>
    </row>
    <row r="14" spans="1:210" s="783" customFormat="1">
      <c r="A14" s="911" t="s">
        <v>345</v>
      </c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1"/>
      <c r="U14" s="911"/>
      <c r="V14" s="911"/>
      <c r="W14" s="911"/>
      <c r="X14" s="911"/>
      <c r="Y14" s="911"/>
      <c r="Z14" s="911"/>
      <c r="AA14" s="911"/>
      <c r="AB14" s="911"/>
      <c r="AC14" s="911"/>
      <c r="AD14" s="911"/>
      <c r="AE14" s="911"/>
      <c r="AF14" s="911"/>
      <c r="AG14" s="911"/>
      <c r="AH14" s="911"/>
      <c r="AI14" s="911"/>
      <c r="AJ14" s="911"/>
      <c r="AK14" s="911"/>
      <c r="AL14" s="911"/>
      <c r="AM14" s="911"/>
      <c r="AN14" s="911"/>
      <c r="AO14" s="911"/>
      <c r="AP14" s="911"/>
      <c r="AQ14" s="911"/>
      <c r="AR14" s="911"/>
      <c r="AS14" s="911"/>
      <c r="AT14" s="911"/>
      <c r="AU14" s="911"/>
      <c r="AV14" s="911"/>
      <c r="AW14" s="911"/>
      <c r="AX14" s="911"/>
      <c r="AY14" s="911"/>
      <c r="AZ14" s="911"/>
      <c r="BA14" s="911"/>
      <c r="BB14" s="911"/>
      <c r="BC14" s="911"/>
      <c r="BD14" s="911"/>
      <c r="BE14" s="911"/>
      <c r="BF14" s="911"/>
      <c r="BG14" s="911"/>
      <c r="BH14" s="911"/>
      <c r="BI14" s="911"/>
      <c r="BJ14" s="911"/>
      <c r="BK14" s="911"/>
      <c r="BL14" s="911"/>
      <c r="BM14" s="911"/>
      <c r="BN14" s="911"/>
      <c r="BO14" s="911"/>
      <c r="BP14" s="911"/>
      <c r="BQ14" s="911"/>
      <c r="BR14" s="911"/>
      <c r="BS14" s="911"/>
      <c r="BT14" s="911"/>
      <c r="BU14" s="911"/>
      <c r="BV14" s="911"/>
      <c r="BW14" s="911"/>
      <c r="BX14" s="911"/>
      <c r="BY14" s="911"/>
      <c r="BZ14" s="911"/>
      <c r="CA14" s="911"/>
      <c r="CB14" s="911"/>
      <c r="CC14" s="911"/>
      <c r="CD14" s="911"/>
      <c r="CE14" s="911"/>
      <c r="CF14" s="911"/>
      <c r="CG14" s="911"/>
      <c r="CH14" s="911"/>
      <c r="CI14" s="911"/>
      <c r="CJ14" s="911"/>
      <c r="CK14" s="911"/>
      <c r="CL14" s="911"/>
      <c r="CM14" s="911"/>
      <c r="CN14" s="911"/>
      <c r="CO14" s="911"/>
      <c r="CP14" s="911"/>
      <c r="CQ14" s="911"/>
      <c r="CR14" s="911"/>
      <c r="CS14" s="911"/>
      <c r="CT14" s="911"/>
      <c r="CU14" s="911"/>
      <c r="CV14" s="911"/>
      <c r="CW14" s="911"/>
      <c r="CX14" s="911"/>
      <c r="CY14" s="911"/>
      <c r="CZ14" s="911"/>
      <c r="DA14" s="911"/>
      <c r="DB14" s="911"/>
      <c r="DC14" s="911"/>
      <c r="DD14" s="911"/>
      <c r="DE14" s="911"/>
      <c r="DF14" s="911"/>
      <c r="DG14" s="787"/>
      <c r="DJ14" s="788"/>
    </row>
    <row r="15" spans="1:210" s="783" customFormat="1" ht="28.5" customHeight="1">
      <c r="A15" s="911"/>
      <c r="B15" s="911"/>
      <c r="C15" s="911"/>
      <c r="D15" s="911"/>
      <c r="E15" s="911"/>
      <c r="F15" s="911"/>
      <c r="G15" s="911"/>
      <c r="H15" s="911"/>
      <c r="I15" s="911"/>
      <c r="J15" s="911"/>
      <c r="K15" s="911"/>
      <c r="L15" s="911"/>
      <c r="M15" s="911"/>
      <c r="N15" s="911"/>
      <c r="O15" s="911"/>
      <c r="P15" s="911"/>
      <c r="Q15" s="911"/>
      <c r="R15" s="911"/>
      <c r="S15" s="911"/>
      <c r="T15" s="911"/>
      <c r="U15" s="911"/>
      <c r="V15" s="911"/>
      <c r="W15" s="911"/>
      <c r="X15" s="911"/>
      <c r="Y15" s="911"/>
      <c r="Z15" s="911"/>
      <c r="AA15" s="911"/>
      <c r="AB15" s="911"/>
      <c r="AC15" s="911"/>
      <c r="AD15" s="911"/>
      <c r="AE15" s="911"/>
      <c r="AF15" s="911"/>
      <c r="AG15" s="911"/>
      <c r="AH15" s="911"/>
      <c r="AI15" s="911"/>
      <c r="AJ15" s="911"/>
      <c r="AK15" s="911"/>
      <c r="AL15" s="911"/>
      <c r="AM15" s="911"/>
      <c r="AN15" s="911"/>
      <c r="AO15" s="911"/>
      <c r="AP15" s="911"/>
      <c r="AQ15" s="911"/>
      <c r="AR15" s="911"/>
      <c r="AS15" s="911"/>
      <c r="AT15" s="911"/>
      <c r="AU15" s="911"/>
      <c r="AV15" s="911"/>
      <c r="AW15" s="911"/>
      <c r="AX15" s="911"/>
      <c r="AY15" s="911"/>
      <c r="AZ15" s="911"/>
      <c r="BA15" s="911"/>
      <c r="BB15" s="911"/>
      <c r="BC15" s="911"/>
      <c r="BD15" s="911"/>
      <c r="BE15" s="911"/>
      <c r="BF15" s="911"/>
      <c r="BG15" s="911"/>
      <c r="BH15" s="911"/>
      <c r="BI15" s="911"/>
      <c r="BJ15" s="911"/>
      <c r="BK15" s="911"/>
      <c r="BL15" s="911"/>
      <c r="BM15" s="911"/>
      <c r="BN15" s="911"/>
      <c r="BO15" s="911"/>
      <c r="BP15" s="911"/>
      <c r="BQ15" s="911"/>
      <c r="BR15" s="911"/>
      <c r="BS15" s="911"/>
      <c r="BT15" s="911"/>
      <c r="BU15" s="911"/>
      <c r="BV15" s="911"/>
      <c r="BW15" s="911"/>
      <c r="BX15" s="911"/>
      <c r="BY15" s="911"/>
      <c r="BZ15" s="911"/>
      <c r="CA15" s="911"/>
      <c r="CB15" s="911"/>
      <c r="CC15" s="911"/>
      <c r="CD15" s="911"/>
      <c r="CE15" s="911"/>
      <c r="CF15" s="911"/>
      <c r="CG15" s="911"/>
      <c r="CH15" s="911"/>
      <c r="CI15" s="911"/>
      <c r="CJ15" s="911"/>
      <c r="CK15" s="911"/>
      <c r="CL15" s="911"/>
      <c r="CM15" s="911"/>
      <c r="CN15" s="911"/>
      <c r="CO15" s="911"/>
      <c r="CP15" s="911"/>
      <c r="CQ15" s="911"/>
      <c r="CR15" s="911"/>
      <c r="CS15" s="911"/>
      <c r="CT15" s="911"/>
      <c r="CU15" s="911"/>
      <c r="CV15" s="911"/>
      <c r="CW15" s="911"/>
      <c r="CX15" s="911"/>
      <c r="CY15" s="911"/>
      <c r="CZ15" s="911"/>
      <c r="DA15" s="911"/>
      <c r="DB15" s="911"/>
      <c r="DC15" s="911"/>
      <c r="DD15" s="911"/>
      <c r="DE15" s="911"/>
      <c r="DF15" s="911"/>
      <c r="DG15" s="787"/>
      <c r="DJ15" s="788"/>
    </row>
    <row r="16" spans="1:210" s="783" customFormat="1" ht="0.75" customHeight="1" thickBot="1">
      <c r="A16" s="780"/>
      <c r="B16" s="43"/>
      <c r="C16" s="781"/>
      <c r="D16" s="789">
        <v>1</v>
      </c>
      <c r="E16" s="789">
        <v>1</v>
      </c>
      <c r="F16" s="789">
        <v>2</v>
      </c>
      <c r="G16" s="789">
        <v>3</v>
      </c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/>
      <c r="AD16" s="789"/>
      <c r="AE16" s="789"/>
      <c r="AF16" s="789"/>
      <c r="AG16" s="789"/>
      <c r="AH16" s="789"/>
      <c r="AI16" s="789"/>
      <c r="AJ16" s="789"/>
      <c r="AK16" s="789"/>
      <c r="AL16" s="789"/>
      <c r="AM16" s="789"/>
      <c r="AN16" s="789"/>
      <c r="AO16" s="789"/>
      <c r="AP16" s="789"/>
      <c r="AQ16" s="789"/>
      <c r="AR16" s="789"/>
      <c r="AS16" s="789"/>
      <c r="AT16" s="789"/>
      <c r="AU16" s="789"/>
      <c r="AV16" s="789"/>
      <c r="AW16" s="789"/>
      <c r="AX16" s="789"/>
      <c r="AY16" s="789"/>
      <c r="AZ16" s="789"/>
      <c r="BA16" s="789"/>
      <c r="BB16" s="789"/>
      <c r="BC16" s="789"/>
      <c r="BD16" s="789"/>
      <c r="BE16" s="789"/>
      <c r="BF16" s="789"/>
      <c r="BG16" s="789"/>
      <c r="BH16" s="789"/>
      <c r="BI16" s="789"/>
      <c r="BJ16" s="789"/>
      <c r="BK16" s="789"/>
      <c r="BL16" s="789"/>
      <c r="BM16" s="789"/>
      <c r="BN16" s="789"/>
      <c r="BO16" s="789"/>
      <c r="BP16" s="789"/>
      <c r="BQ16" s="789"/>
      <c r="BR16" s="789"/>
      <c r="BS16" s="789"/>
      <c r="BT16" s="789"/>
      <c r="BU16" s="789"/>
      <c r="BV16" s="789"/>
      <c r="BW16" s="789"/>
      <c r="BX16" s="789"/>
      <c r="BY16" s="789"/>
      <c r="BZ16" s="789"/>
      <c r="CA16" s="789"/>
      <c r="CB16" s="789"/>
      <c r="CC16" s="789"/>
      <c r="CD16" s="789"/>
      <c r="CE16" s="789"/>
      <c r="CF16" s="789"/>
      <c r="CG16" s="789"/>
      <c r="CH16" s="789"/>
      <c r="CI16" s="789"/>
      <c r="CJ16" s="789"/>
      <c r="CK16" s="789"/>
      <c r="CL16" s="789"/>
      <c r="CM16" s="790"/>
      <c r="CN16" s="790"/>
      <c r="CO16" s="790"/>
      <c r="CP16" s="790"/>
      <c r="CQ16" s="790"/>
      <c r="CR16" s="790"/>
      <c r="CS16" s="790"/>
      <c r="CT16" s="790"/>
      <c r="CU16" s="790"/>
      <c r="CV16" s="790"/>
      <c r="CW16" s="790"/>
      <c r="CX16" s="790"/>
      <c r="CY16" s="790"/>
      <c r="CZ16" s="790"/>
      <c r="DA16" s="789"/>
      <c r="DB16" s="789">
        <v>4</v>
      </c>
      <c r="DC16" s="789">
        <v>3</v>
      </c>
      <c r="DD16" s="789">
        <v>3</v>
      </c>
      <c r="DE16" s="789">
        <v>3</v>
      </c>
      <c r="DF16" s="789">
        <v>3</v>
      </c>
      <c r="DG16" s="789"/>
      <c r="DJ16" s="788"/>
    </row>
    <row r="17" spans="1:114" s="783" customFormat="1" ht="8.25" hidden="1" customHeight="1" thickBot="1">
      <c r="A17" s="780"/>
      <c r="B17" s="43"/>
      <c r="C17" s="781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789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789"/>
      <c r="AD17" s="789"/>
      <c r="AE17" s="789"/>
      <c r="AF17" s="789"/>
      <c r="AG17" s="789"/>
      <c r="AH17" s="789"/>
      <c r="AI17" s="789"/>
      <c r="AJ17" s="789"/>
      <c r="AK17" s="789"/>
      <c r="AL17" s="789"/>
      <c r="AM17" s="789"/>
      <c r="AN17" s="789"/>
      <c r="AO17" s="789"/>
      <c r="AP17" s="789"/>
      <c r="AQ17" s="789"/>
      <c r="AR17" s="789"/>
      <c r="AS17" s="789"/>
      <c r="AT17" s="789"/>
      <c r="AU17" s="789"/>
      <c r="AV17" s="789"/>
      <c r="AW17" s="789"/>
      <c r="AX17" s="789"/>
      <c r="AY17" s="789"/>
      <c r="AZ17" s="789"/>
      <c r="BA17" s="789"/>
      <c r="BB17" s="789"/>
      <c r="BC17" s="789"/>
      <c r="BD17" s="789"/>
      <c r="BE17" s="789"/>
      <c r="BF17" s="789"/>
      <c r="BG17" s="789"/>
      <c r="BH17" s="789"/>
      <c r="BI17" s="789"/>
      <c r="BJ17" s="789"/>
      <c r="BK17" s="789"/>
      <c r="BL17" s="789"/>
      <c r="BM17" s="789"/>
      <c r="BN17" s="789"/>
      <c r="BO17" s="789"/>
      <c r="BP17" s="789"/>
      <c r="BQ17" s="789"/>
      <c r="BR17" s="789"/>
      <c r="BS17" s="789"/>
      <c r="BT17" s="789"/>
      <c r="BU17" s="789"/>
      <c r="BV17" s="789"/>
      <c r="BW17" s="789"/>
      <c r="BX17" s="789"/>
      <c r="BY17" s="789"/>
      <c r="BZ17" s="789"/>
      <c r="CA17" s="789"/>
      <c r="CB17" s="789"/>
      <c r="CC17" s="789"/>
      <c r="CD17" s="789"/>
      <c r="CE17" s="789"/>
      <c r="CF17" s="789"/>
      <c r="CG17" s="789"/>
      <c r="CH17" s="789"/>
      <c r="CI17" s="789"/>
      <c r="CJ17" s="789"/>
      <c r="CK17" s="789"/>
      <c r="CL17" s="789"/>
      <c r="CM17" s="790"/>
      <c r="CN17" s="790"/>
      <c r="CO17" s="790"/>
      <c r="CP17" s="790"/>
      <c r="CQ17" s="790"/>
      <c r="CR17" s="790"/>
      <c r="CS17" s="790"/>
      <c r="CT17" s="790"/>
      <c r="CU17" s="790"/>
      <c r="CV17" s="790"/>
      <c r="CW17" s="790"/>
      <c r="CX17" s="790"/>
      <c r="CY17" s="790"/>
      <c r="CZ17" s="790"/>
      <c r="DA17" s="789"/>
      <c r="DB17" s="789"/>
      <c r="DC17" s="789"/>
      <c r="DD17" s="789"/>
      <c r="DE17" s="789"/>
      <c r="DF17" s="789"/>
      <c r="DG17" s="789"/>
      <c r="DJ17" s="788"/>
    </row>
    <row r="18" spans="1:114" s="783" customFormat="1" ht="8.25" hidden="1" customHeight="1" thickBot="1">
      <c r="A18" s="780"/>
      <c r="B18" s="43"/>
      <c r="C18" s="781"/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789"/>
      <c r="AH18" s="789"/>
      <c r="AI18" s="789"/>
      <c r="AJ18" s="789"/>
      <c r="AK18" s="789"/>
      <c r="AL18" s="789"/>
      <c r="AM18" s="789"/>
      <c r="AN18" s="789"/>
      <c r="AO18" s="789"/>
      <c r="AP18" s="789"/>
      <c r="AQ18" s="789"/>
      <c r="AR18" s="789"/>
      <c r="AS18" s="789"/>
      <c r="AT18" s="789"/>
      <c r="AU18" s="789"/>
      <c r="AV18" s="789"/>
      <c r="AW18" s="789"/>
      <c r="AX18" s="789"/>
      <c r="AY18" s="789"/>
      <c r="AZ18" s="789"/>
      <c r="BA18" s="789"/>
      <c r="BB18" s="789"/>
      <c r="BC18" s="789"/>
      <c r="BD18" s="789"/>
      <c r="BE18" s="789"/>
      <c r="BF18" s="789"/>
      <c r="BG18" s="789"/>
      <c r="BH18" s="789"/>
      <c r="BI18" s="789"/>
      <c r="BJ18" s="789"/>
      <c r="BK18" s="789"/>
      <c r="BL18" s="789"/>
      <c r="BM18" s="789"/>
      <c r="BN18" s="789"/>
      <c r="BO18" s="789"/>
      <c r="BP18" s="789"/>
      <c r="BQ18" s="789"/>
      <c r="BR18" s="789"/>
      <c r="BS18" s="789"/>
      <c r="BT18" s="789"/>
      <c r="BU18" s="789"/>
      <c r="BV18" s="789"/>
      <c r="BW18" s="789"/>
      <c r="BX18" s="789"/>
      <c r="BY18" s="789"/>
      <c r="BZ18" s="789"/>
      <c r="CA18" s="789"/>
      <c r="CB18" s="789"/>
      <c r="CC18" s="789"/>
      <c r="CD18" s="789"/>
      <c r="CE18" s="789"/>
      <c r="CF18" s="789"/>
      <c r="CG18" s="789"/>
      <c r="CH18" s="789"/>
      <c r="CI18" s="789"/>
      <c r="CJ18" s="789"/>
      <c r="CK18" s="789"/>
      <c r="CL18" s="789"/>
      <c r="CM18" s="790"/>
      <c r="CN18" s="790"/>
      <c r="CO18" s="790"/>
      <c r="CP18" s="790"/>
      <c r="CQ18" s="790"/>
      <c r="CR18" s="790"/>
      <c r="CS18" s="790"/>
      <c r="CT18" s="790"/>
      <c r="CU18" s="790"/>
      <c r="CV18" s="790"/>
      <c r="CW18" s="790"/>
      <c r="CX18" s="790"/>
      <c r="CY18" s="790"/>
      <c r="CZ18" s="790"/>
      <c r="DA18" s="789"/>
      <c r="DB18" s="789"/>
      <c r="DC18" s="789"/>
      <c r="DD18" s="789"/>
      <c r="DE18" s="789"/>
      <c r="DF18" s="789"/>
      <c r="DG18" s="789"/>
      <c r="DJ18" s="788"/>
    </row>
    <row r="19" spans="1:114" s="783" customFormat="1" ht="8.25" hidden="1" customHeight="1" thickBot="1">
      <c r="A19" s="780"/>
      <c r="B19" s="43"/>
      <c r="C19" s="781"/>
      <c r="D19" s="789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789"/>
      <c r="AH19" s="789"/>
      <c r="AI19" s="789"/>
      <c r="AJ19" s="789"/>
      <c r="AK19" s="789"/>
      <c r="AL19" s="789"/>
      <c r="AM19" s="789"/>
      <c r="AN19" s="789"/>
      <c r="AO19" s="789"/>
      <c r="AP19" s="789"/>
      <c r="AQ19" s="789"/>
      <c r="AR19" s="789"/>
      <c r="AS19" s="789"/>
      <c r="AT19" s="789"/>
      <c r="AU19" s="789"/>
      <c r="AV19" s="789"/>
      <c r="AW19" s="789"/>
      <c r="AX19" s="789"/>
      <c r="AY19" s="789"/>
      <c r="AZ19" s="789"/>
      <c r="BA19" s="789"/>
      <c r="BB19" s="789"/>
      <c r="BC19" s="789"/>
      <c r="BD19" s="789"/>
      <c r="BE19" s="789"/>
      <c r="BF19" s="789"/>
      <c r="BG19" s="789"/>
      <c r="BH19" s="789"/>
      <c r="BI19" s="789"/>
      <c r="BJ19" s="789"/>
      <c r="BK19" s="789"/>
      <c r="BL19" s="789"/>
      <c r="BM19" s="789"/>
      <c r="BN19" s="789"/>
      <c r="BO19" s="789"/>
      <c r="BP19" s="789"/>
      <c r="BQ19" s="789"/>
      <c r="BR19" s="789"/>
      <c r="BS19" s="789"/>
      <c r="BT19" s="789"/>
      <c r="BU19" s="789"/>
      <c r="BV19" s="789"/>
      <c r="BW19" s="789"/>
      <c r="BX19" s="789"/>
      <c r="BY19" s="789"/>
      <c r="BZ19" s="789"/>
      <c r="CA19" s="789"/>
      <c r="CB19" s="789"/>
      <c r="CC19" s="789"/>
      <c r="CD19" s="789"/>
      <c r="CE19" s="789"/>
      <c r="CF19" s="789"/>
      <c r="CG19" s="789"/>
      <c r="CH19" s="789"/>
      <c r="CI19" s="789"/>
      <c r="CJ19" s="789"/>
      <c r="CK19" s="789"/>
      <c r="CL19" s="789"/>
      <c r="CM19" s="790"/>
      <c r="CN19" s="790"/>
      <c r="CO19" s="790"/>
      <c r="CP19" s="790"/>
      <c r="CQ19" s="790"/>
      <c r="CR19" s="790"/>
      <c r="CS19" s="790"/>
      <c r="CT19" s="790"/>
      <c r="CU19" s="790"/>
      <c r="CV19" s="790"/>
      <c r="CW19" s="790"/>
      <c r="CX19" s="790"/>
      <c r="CY19" s="790"/>
      <c r="CZ19" s="790"/>
      <c r="DA19" s="789"/>
      <c r="DB19" s="789"/>
      <c r="DC19" s="789"/>
      <c r="DD19" s="789"/>
      <c r="DE19" s="789"/>
      <c r="DF19" s="789"/>
      <c r="DG19" s="789"/>
      <c r="DJ19" s="788"/>
    </row>
    <row r="20" spans="1:114" s="783" customFormat="1" ht="13.5" customHeight="1" thickBot="1">
      <c r="A20" s="890" t="s">
        <v>35</v>
      </c>
      <c r="B20" s="897" t="s">
        <v>0</v>
      </c>
      <c r="C20" s="899" t="s">
        <v>36</v>
      </c>
      <c r="D20" s="802" t="s">
        <v>322</v>
      </c>
      <c r="E20" s="802" t="s">
        <v>244</v>
      </c>
      <c r="F20" s="802" t="s">
        <v>302</v>
      </c>
      <c r="G20" s="802" t="s">
        <v>302</v>
      </c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2"/>
      <c r="AA20" s="792"/>
      <c r="AB20" s="792"/>
      <c r="AC20" s="792"/>
      <c r="AD20" s="792"/>
      <c r="AE20" s="792"/>
      <c r="AF20" s="792"/>
      <c r="AG20" s="792"/>
      <c r="AH20" s="792"/>
      <c r="AI20" s="792"/>
      <c r="AJ20" s="792"/>
      <c r="AK20" s="792"/>
      <c r="AL20" s="792"/>
      <c r="AM20" s="792"/>
      <c r="AN20" s="792"/>
      <c r="AO20" s="792"/>
      <c r="AP20" s="792"/>
      <c r="AQ20" s="792"/>
      <c r="AR20" s="792"/>
      <c r="AS20" s="792"/>
      <c r="AT20" s="792"/>
      <c r="AU20" s="792"/>
      <c r="AV20" s="792"/>
      <c r="AW20" s="792"/>
      <c r="AX20" s="792"/>
      <c r="AY20" s="793" t="s">
        <v>244</v>
      </c>
      <c r="AZ20" s="792"/>
      <c r="BA20" s="794"/>
      <c r="BB20" s="792"/>
      <c r="BC20" s="792"/>
      <c r="BD20" s="792"/>
      <c r="BE20" s="795"/>
      <c r="BF20" s="792"/>
      <c r="BG20" s="792"/>
      <c r="BH20" s="792"/>
      <c r="BI20" s="795"/>
      <c r="BJ20" s="796"/>
      <c r="BK20" s="797"/>
      <c r="BL20" s="901" t="s">
        <v>98</v>
      </c>
      <c r="BM20" s="901"/>
      <c r="BN20" s="901"/>
      <c r="BO20" s="902"/>
      <c r="BP20" s="903" t="s">
        <v>49</v>
      </c>
      <c r="BQ20" s="904"/>
      <c r="BR20" s="904"/>
      <c r="BS20" s="905"/>
      <c r="BT20" s="903" t="s">
        <v>50</v>
      </c>
      <c r="BU20" s="904"/>
      <c r="BV20" s="904"/>
      <c r="BW20" s="905"/>
      <c r="BX20" s="885" t="s">
        <v>37</v>
      </c>
      <c r="BY20" s="887" t="s">
        <v>69</v>
      </c>
      <c r="BZ20" s="888"/>
      <c r="CA20" s="888"/>
      <c r="CB20" s="889"/>
      <c r="CC20" s="890" t="s">
        <v>75</v>
      </c>
      <c r="CD20" s="798" t="s">
        <v>76</v>
      </c>
      <c r="CE20" s="799" t="s">
        <v>77</v>
      </c>
      <c r="CF20" s="800" t="s">
        <v>78</v>
      </c>
      <c r="CG20" s="801"/>
      <c r="CH20" s="801"/>
      <c r="CI20" s="801"/>
      <c r="CJ20" s="801"/>
      <c r="CK20" s="801"/>
      <c r="CL20" s="801"/>
      <c r="CM20" s="801"/>
      <c r="CN20" s="801"/>
      <c r="CO20" s="801"/>
      <c r="CP20" s="801"/>
      <c r="CQ20" s="801"/>
      <c r="CR20" s="801"/>
      <c r="CS20" s="801"/>
      <c r="CT20" s="801"/>
      <c r="CU20" s="801"/>
      <c r="CV20" s="801"/>
      <c r="CW20" s="801"/>
      <c r="CX20" s="801"/>
      <c r="CY20" s="801"/>
      <c r="CZ20" s="801"/>
      <c r="DA20" s="793" t="s">
        <v>244</v>
      </c>
      <c r="DB20" s="793" t="s">
        <v>302</v>
      </c>
      <c r="DC20" s="892" t="s">
        <v>351</v>
      </c>
      <c r="DD20" s="893"/>
      <c r="DE20" s="793" t="s">
        <v>351</v>
      </c>
      <c r="DF20" s="893" t="s">
        <v>327</v>
      </c>
      <c r="DG20" s="894"/>
      <c r="DJ20" s="788"/>
    </row>
    <row r="21" spans="1:114" s="783" customFormat="1" ht="13.5" customHeight="1">
      <c r="A21" s="891"/>
      <c r="B21" s="898"/>
      <c r="C21" s="900"/>
      <c r="D21" s="793" t="s">
        <v>47</v>
      </c>
      <c r="E21" s="793" t="s">
        <v>47</v>
      </c>
      <c r="F21" s="793" t="s">
        <v>47</v>
      </c>
      <c r="G21" s="793" t="s">
        <v>47</v>
      </c>
      <c r="H21" s="803" t="s">
        <v>107</v>
      </c>
      <c r="I21" s="804" t="s">
        <v>108</v>
      </c>
      <c r="J21" s="805"/>
      <c r="K21" s="806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7"/>
      <c r="W21" s="807"/>
      <c r="X21" s="807"/>
      <c r="Y21" s="808"/>
      <c r="Z21" s="807"/>
      <c r="AA21" s="807"/>
      <c r="AB21" s="807"/>
      <c r="AC21" s="807"/>
      <c r="AD21" s="807"/>
      <c r="AE21" s="807"/>
      <c r="AF21" s="807"/>
      <c r="AG21" s="807"/>
      <c r="AH21" s="807"/>
      <c r="AI21" s="807"/>
      <c r="AJ21" s="807"/>
      <c r="AK21" s="808"/>
      <c r="AL21" s="807"/>
      <c r="AM21" s="807"/>
      <c r="AN21" s="807"/>
      <c r="AO21" s="807"/>
      <c r="AP21" s="807"/>
      <c r="AQ21" s="807"/>
      <c r="AR21" s="807"/>
      <c r="AS21" s="807"/>
      <c r="AT21" s="807"/>
      <c r="AU21" s="807"/>
      <c r="AV21" s="807"/>
      <c r="AW21" s="807"/>
      <c r="AX21" s="809" t="s">
        <v>129</v>
      </c>
      <c r="AY21" s="823" t="s">
        <v>48</v>
      </c>
      <c r="AZ21" s="811"/>
      <c r="BA21" s="906" t="s">
        <v>116</v>
      </c>
      <c r="BB21" s="907"/>
      <c r="BC21" s="907"/>
      <c r="BD21" s="907"/>
      <c r="BE21" s="908"/>
      <c r="BF21" s="812"/>
      <c r="BG21" s="812"/>
      <c r="BH21" s="812"/>
      <c r="BI21" s="813"/>
      <c r="BJ21" s="811"/>
      <c r="BK21" s="814"/>
      <c r="BL21" s="815"/>
      <c r="BM21" s="807"/>
      <c r="BN21" s="807"/>
      <c r="BO21" s="808"/>
      <c r="BP21" s="816"/>
      <c r="BQ21" s="807"/>
      <c r="BR21" s="807"/>
      <c r="BS21" s="808"/>
      <c r="BT21" s="816"/>
      <c r="BU21" s="807"/>
      <c r="BV21" s="807"/>
      <c r="BW21" s="808"/>
      <c r="BX21" s="886"/>
      <c r="BY21" s="817"/>
      <c r="BZ21" s="807"/>
      <c r="CA21" s="807"/>
      <c r="CB21" s="818"/>
      <c r="CC21" s="891"/>
      <c r="CD21" s="819"/>
      <c r="CE21" s="820"/>
      <c r="CF21" s="814"/>
      <c r="CG21" s="821"/>
      <c r="CH21" s="821"/>
      <c r="CI21" s="821"/>
      <c r="CJ21" s="821"/>
      <c r="CK21" s="821"/>
      <c r="CL21" s="821"/>
      <c r="CM21" s="821"/>
      <c r="CN21" s="821"/>
      <c r="CO21" s="821"/>
      <c r="CP21" s="821"/>
      <c r="CQ21" s="821"/>
      <c r="CR21" s="821"/>
      <c r="CS21" s="821"/>
      <c r="CT21" s="821"/>
      <c r="CU21" s="821"/>
      <c r="CV21" s="821"/>
      <c r="CW21" s="821"/>
      <c r="CX21" s="821"/>
      <c r="CY21" s="821"/>
      <c r="CZ21" s="821"/>
      <c r="DA21" s="793" t="s">
        <v>47</v>
      </c>
      <c r="DB21" s="793" t="s">
        <v>47</v>
      </c>
      <c r="DC21" s="793" t="s">
        <v>47</v>
      </c>
      <c r="DD21" s="880" t="s">
        <v>48</v>
      </c>
      <c r="DE21" s="793" t="s">
        <v>47</v>
      </c>
      <c r="DF21" s="909" t="s">
        <v>334</v>
      </c>
      <c r="DG21" s="881" t="s">
        <v>335</v>
      </c>
      <c r="DJ21" s="788"/>
    </row>
    <row r="22" spans="1:114" s="783" customFormat="1">
      <c r="A22" s="883" t="s">
        <v>43</v>
      </c>
      <c r="B22" s="884"/>
      <c r="C22" s="822"/>
      <c r="D22" s="728" t="s">
        <v>323</v>
      </c>
      <c r="E22" s="728" t="s">
        <v>321</v>
      </c>
      <c r="F22" s="728" t="s">
        <v>320</v>
      </c>
      <c r="G22" s="728" t="s">
        <v>319</v>
      </c>
      <c r="H22" s="729"/>
      <c r="I22" s="729"/>
      <c r="J22" s="729"/>
      <c r="K22" s="729"/>
      <c r="L22" s="729"/>
      <c r="M22" s="728"/>
      <c r="N22" s="728"/>
      <c r="O22" s="728"/>
      <c r="P22" s="728"/>
      <c r="Q22" s="728"/>
      <c r="R22" s="728"/>
      <c r="S22" s="728"/>
      <c r="T22" s="728"/>
      <c r="U22" s="728"/>
      <c r="V22" s="728"/>
      <c r="W22" s="728"/>
      <c r="X22" s="730"/>
      <c r="Y22" s="731"/>
      <c r="Z22" s="729"/>
      <c r="AA22" s="728"/>
      <c r="AB22" s="728"/>
      <c r="AC22" s="728"/>
      <c r="AD22" s="728"/>
      <c r="AE22" s="728"/>
      <c r="AF22" s="728"/>
      <c r="AG22" s="728"/>
      <c r="AH22" s="728"/>
      <c r="AI22" s="728"/>
      <c r="AJ22" s="730"/>
      <c r="AK22" s="732"/>
      <c r="AL22" s="729"/>
      <c r="AM22" s="728"/>
      <c r="AN22" s="728"/>
      <c r="AO22" s="728"/>
      <c r="AP22" s="728"/>
      <c r="AQ22" s="728"/>
      <c r="AR22" s="728"/>
      <c r="AS22" s="728"/>
      <c r="AT22" s="728"/>
      <c r="AU22" s="728"/>
      <c r="AV22" s="730"/>
      <c r="AW22" s="732"/>
      <c r="AX22" s="729"/>
      <c r="AY22" s="728"/>
      <c r="AZ22" s="733"/>
      <c r="BA22" s="734"/>
      <c r="BB22" s="734"/>
      <c r="BC22" s="734"/>
      <c r="BD22" s="734"/>
      <c r="BE22" s="735"/>
      <c r="BF22" s="733"/>
      <c r="BG22" s="734"/>
      <c r="BH22" s="734"/>
      <c r="BI22" s="735"/>
      <c r="BJ22" s="736"/>
      <c r="BK22" s="737"/>
      <c r="BL22" s="738"/>
      <c r="BM22" s="733"/>
      <c r="BN22" s="739"/>
      <c r="BO22" s="740"/>
      <c r="BP22" s="741"/>
      <c r="BQ22" s="734"/>
      <c r="BR22" s="739"/>
      <c r="BS22" s="740"/>
      <c r="BT22" s="733"/>
      <c r="BU22" s="734"/>
      <c r="BV22" s="739"/>
      <c r="BW22" s="740"/>
      <c r="BX22" s="742"/>
      <c r="BY22" s="743"/>
      <c r="BZ22" s="728"/>
      <c r="CA22" s="736"/>
      <c r="CB22" s="737"/>
      <c r="CC22" s="744"/>
      <c r="CD22" s="745"/>
      <c r="CE22" s="746"/>
      <c r="CF22" s="747"/>
      <c r="CG22" s="748"/>
      <c r="CH22" s="748"/>
      <c r="CI22" s="748"/>
      <c r="CJ22" s="748"/>
      <c r="CK22" s="748"/>
      <c r="CL22" s="748"/>
      <c r="CM22" s="748"/>
      <c r="CN22" s="748"/>
      <c r="CO22" s="748"/>
      <c r="CP22" s="748"/>
      <c r="CQ22" s="748"/>
      <c r="CR22" s="748"/>
      <c r="CS22" s="748"/>
      <c r="CT22" s="748"/>
      <c r="CU22" s="748"/>
      <c r="CV22" s="748"/>
      <c r="CW22" s="748"/>
      <c r="CX22" s="748"/>
      <c r="CY22" s="748"/>
      <c r="CZ22" s="748"/>
      <c r="DA22" s="728"/>
      <c r="DB22" s="728" t="s">
        <v>318</v>
      </c>
      <c r="DC22" s="880" t="s">
        <v>354</v>
      </c>
      <c r="DD22" s="880" t="s">
        <v>328</v>
      </c>
      <c r="DE22" s="849" t="s">
        <v>355</v>
      </c>
      <c r="DF22" s="910"/>
      <c r="DG22" s="882"/>
      <c r="DJ22" s="788"/>
    </row>
    <row r="23" spans="1:114" s="783" customFormat="1">
      <c r="A23" s="114">
        <v>1</v>
      </c>
      <c r="B23" s="115" t="s">
        <v>301</v>
      </c>
      <c r="C23" s="824" t="s">
        <v>81</v>
      </c>
      <c r="D23" s="117">
        <f>D24+D27+D28+D29+D30</f>
        <v>122</v>
      </c>
      <c r="E23" s="117">
        <f>E24+E27+E28+E29+E30</f>
        <v>109.75</v>
      </c>
      <c r="F23" s="117">
        <f>F24+F27+F28+F29+F30</f>
        <v>111.77</v>
      </c>
      <c r="G23" s="117">
        <f>G24+G27+G28+G29+G30</f>
        <v>111.77</v>
      </c>
      <c r="H23" s="117" t="e">
        <f>H24+#REF!</f>
        <v>#REF!</v>
      </c>
      <c r="I23" s="117">
        <f>SUM(I24:I30)</f>
        <v>36</v>
      </c>
      <c r="J23" s="117">
        <f>SUM(J24:J30)</f>
        <v>9.5</v>
      </c>
      <c r="K23" s="117">
        <f>SUM(K24:K30)</f>
        <v>26.5</v>
      </c>
      <c r="L23" s="117" t="e">
        <f>L24+L27+#REF!</f>
        <v>#REF!</v>
      </c>
      <c r="M23" s="117" t="e">
        <f>M24+M27+#REF!+#REF!</f>
        <v>#REF!</v>
      </c>
      <c r="N23" s="117" t="e">
        <f>N24+#REF!</f>
        <v>#REF!</v>
      </c>
      <c r="O23" s="117" t="e">
        <f>O24+#REF!</f>
        <v>#REF!</v>
      </c>
      <c r="P23" s="117">
        <f t="shared" ref="P23:V23" si="0">SUM(P24:P30)</f>
        <v>0.71666666666666667</v>
      </c>
      <c r="Q23" s="117">
        <f t="shared" si="0"/>
        <v>0.66439000000000004</v>
      </c>
      <c r="R23" s="117">
        <f t="shared" si="0"/>
        <v>0.79166666666666663</v>
      </c>
      <c r="S23" s="117">
        <f t="shared" si="0"/>
        <v>0.77131986300000011</v>
      </c>
      <c r="T23" s="117">
        <f t="shared" si="0"/>
        <v>2.2083333333333335</v>
      </c>
      <c r="U23" s="117">
        <f t="shared" si="0"/>
        <v>2.1536701370000002</v>
      </c>
      <c r="V23" s="117">
        <f t="shared" si="0"/>
        <v>0.252</v>
      </c>
      <c r="W23" s="117"/>
      <c r="X23" s="118" t="e">
        <f>X24+#REF!</f>
        <v>#REF!</v>
      </c>
      <c r="Y23" s="119" t="e">
        <f>O23/N23</f>
        <v>#REF!</v>
      </c>
      <c r="Z23" s="117" t="e">
        <f>Z24+Z27+#REF!</f>
        <v>#REF!</v>
      </c>
      <c r="AA23" s="117" t="e">
        <f>AA24+AA27+#REF!+#REF!</f>
        <v>#REF!</v>
      </c>
      <c r="AB23" s="117" t="e">
        <f>AB24+#REF!</f>
        <v>#REF!</v>
      </c>
      <c r="AC23" s="117" t="e">
        <f>AC24+#REF!</f>
        <v>#REF!</v>
      </c>
      <c r="AD23" s="117">
        <f>SUM(AD24:AD30)</f>
        <v>0.79</v>
      </c>
      <c r="AE23" s="117">
        <f>SUM(AE24:AE30)</f>
        <v>0</v>
      </c>
      <c r="AF23" s="117">
        <f>SUM(AF24:AF30)</f>
        <v>2.21</v>
      </c>
      <c r="AG23" s="117">
        <f>SUM(AG24:AG30)</f>
        <v>0</v>
      </c>
      <c r="AH23" s="117">
        <f>SUM(AH24:AH30)</f>
        <v>0</v>
      </c>
      <c r="AI23" s="117"/>
      <c r="AJ23" s="118" t="e">
        <f>AJ24+#REF!</f>
        <v>#REF!</v>
      </c>
      <c r="AK23" s="120" t="e">
        <f>AC23/AB23</f>
        <v>#REF!</v>
      </c>
      <c r="AL23" s="117" t="e">
        <f>AL24+AL27+#REF!</f>
        <v>#REF!</v>
      </c>
      <c r="AM23" s="117" t="e">
        <f>AM24+AM27+#REF!+#REF!</f>
        <v>#REF!</v>
      </c>
      <c r="AN23" s="117" t="e">
        <f>AN24+#REF!</f>
        <v>#REF!</v>
      </c>
      <c r="AO23" s="117" t="e">
        <f>AO24+#REF!</f>
        <v>#REF!</v>
      </c>
      <c r="AP23" s="117">
        <f>SUM(AP24:AP30)</f>
        <v>0.79</v>
      </c>
      <c r="AQ23" s="117">
        <f>SUM(AQ24:AQ30)</f>
        <v>0</v>
      </c>
      <c r="AR23" s="117">
        <f>SUM(AR24:AR30)</f>
        <v>2.21</v>
      </c>
      <c r="AS23" s="117">
        <f>SUM(AS24:AS30)</f>
        <v>0</v>
      </c>
      <c r="AT23" s="117">
        <f>SUM(AT24:AT30)</f>
        <v>0</v>
      </c>
      <c r="AU23" s="117"/>
      <c r="AV23" s="118" t="e">
        <f>AV24+#REF!</f>
        <v>#REF!</v>
      </c>
      <c r="AW23" s="120" t="e">
        <f>AO23/AN23</f>
        <v>#REF!</v>
      </c>
      <c r="AX23" s="117" t="e">
        <f>AX24+AX27+#REF!</f>
        <v>#REF!</v>
      </c>
      <c r="AY23" s="117">
        <f>AY24+AY27+AY28+AY29+AY30</f>
        <v>107.63</v>
      </c>
      <c r="AZ23" s="121">
        <f>AZ24+AZ27+AZ28</f>
        <v>29.630000000000003</v>
      </c>
      <c r="BA23" s="122">
        <f>BA24</f>
        <v>70.39</v>
      </c>
      <c r="BB23" s="122">
        <f t="shared" ref="BB23:BG23" si="1">SUM(BB24:BB30)</f>
        <v>18.234999999999999</v>
      </c>
      <c r="BC23" s="122">
        <f t="shared" si="1"/>
        <v>31.21</v>
      </c>
      <c r="BD23" s="122">
        <f t="shared" si="1"/>
        <v>6.4</v>
      </c>
      <c r="BE23" s="123">
        <f t="shared" si="1"/>
        <v>6.03</v>
      </c>
      <c r="BF23" s="121">
        <f t="shared" si="1"/>
        <v>0</v>
      </c>
      <c r="BG23" s="122">
        <f t="shared" si="1"/>
        <v>0</v>
      </c>
      <c r="BH23" s="122"/>
      <c r="BI23" s="123"/>
      <c r="BJ23" s="288">
        <f>BA23-AZ23</f>
        <v>40.76</v>
      </c>
      <c r="BK23" s="407">
        <f>BA23/AZ23</f>
        <v>2.3756328045899426</v>
      </c>
      <c r="BL23" s="408"/>
      <c r="BM23" s="121">
        <f>SUM(BM24:BM30)</f>
        <v>0.57499999999999996</v>
      </c>
      <c r="BN23" s="122"/>
      <c r="BO23" s="409"/>
      <c r="BP23" s="121"/>
      <c r="BQ23" s="122"/>
      <c r="BR23" s="122"/>
      <c r="BS23" s="410"/>
      <c r="BT23" s="121"/>
      <c r="BU23" s="122"/>
      <c r="BV23" s="122"/>
      <c r="BW23" s="410"/>
      <c r="BX23" s="411" t="e">
        <f>BX24+BX27+#REF!</f>
        <v>#REF!</v>
      </c>
      <c r="BY23" s="412" t="e">
        <f>BY24+BY27+#REF!</f>
        <v>#REF!</v>
      </c>
      <c r="BZ23" s="117" t="e">
        <f>BZ24+BZ27+#REF!+#REF!</f>
        <v>#REF!</v>
      </c>
      <c r="CA23" s="121" t="e">
        <f>BZ23-BY23</f>
        <v>#REF!</v>
      </c>
      <c r="CB23" s="413" t="e">
        <f>BZ23/BY23</f>
        <v>#REF!</v>
      </c>
      <c r="CC23" s="414" t="e">
        <f>BZ23-E23</f>
        <v>#REF!</v>
      </c>
      <c r="CD23" s="415" t="e">
        <f>CD24+CD27+#REF!</f>
        <v>#REF!</v>
      </c>
      <c r="CE23" s="122">
        <f>SUM(CE24:CE30)</f>
        <v>4.97</v>
      </c>
      <c r="CF23" s="123"/>
      <c r="CG23" s="416"/>
      <c r="CH23" s="416"/>
      <c r="CI23" s="416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6"/>
      <c r="CZ23" s="416"/>
      <c r="DA23" s="117">
        <f t="shared" ref="DA23:DG23" si="2">DA24+DA27+DA28+DA29+DA30</f>
        <v>109.75</v>
      </c>
      <c r="DB23" s="117">
        <f t="shared" si="2"/>
        <v>117.27</v>
      </c>
      <c r="DC23" s="235">
        <f t="shared" si="2"/>
        <v>107.62</v>
      </c>
      <c r="DD23" s="117">
        <f t="shared" si="2"/>
        <v>106.45</v>
      </c>
      <c r="DE23" s="235">
        <f t="shared" si="2"/>
        <v>107.62</v>
      </c>
      <c r="DF23" s="117">
        <f t="shared" si="2"/>
        <v>56.4</v>
      </c>
      <c r="DG23" s="825">
        <f t="shared" si="2"/>
        <v>58.11</v>
      </c>
      <c r="DI23" s="826"/>
      <c r="DJ23" s="788"/>
    </row>
    <row r="24" spans="1:114" s="783" customFormat="1">
      <c r="A24" s="124"/>
      <c r="B24" s="125" t="s">
        <v>87</v>
      </c>
      <c r="C24" s="827" t="s">
        <v>81</v>
      </c>
      <c r="D24" s="78">
        <v>84</v>
      </c>
      <c r="E24" s="78">
        <v>66.7</v>
      </c>
      <c r="F24" s="78">
        <v>66.7</v>
      </c>
      <c r="G24" s="78">
        <v>66.7</v>
      </c>
      <c r="H24" s="3">
        <v>85</v>
      </c>
      <c r="I24" s="3"/>
      <c r="J24" s="3"/>
      <c r="K24" s="3"/>
      <c r="L24" s="3">
        <f>G24/12</f>
        <v>5.5583333333333336</v>
      </c>
      <c r="M24" s="3">
        <f>M25+M26</f>
        <v>6.2536199999999997</v>
      </c>
      <c r="N24" s="3">
        <f>G24/12</f>
        <v>5.5583333333333336</v>
      </c>
      <c r="O24" s="3">
        <f>O25+O26</f>
        <v>6.2536199999999997</v>
      </c>
      <c r="P24" s="3"/>
      <c r="Q24" s="3"/>
      <c r="R24" s="3"/>
      <c r="S24" s="3"/>
      <c r="T24" s="3"/>
      <c r="U24" s="3"/>
      <c r="V24" s="3"/>
      <c r="W24" s="3"/>
      <c r="X24" s="127">
        <f>O24-N24</f>
        <v>0.69528666666666616</v>
      </c>
      <c r="Y24" s="128">
        <f>O24/N24</f>
        <v>1.1250890554722637</v>
      </c>
      <c r="Z24" s="3">
        <f>Z25+Z26</f>
        <v>7.09</v>
      </c>
      <c r="AA24" s="3"/>
      <c r="AB24" s="3">
        <f>AB25+AB26</f>
        <v>7.09</v>
      </c>
      <c r="AC24" s="3"/>
      <c r="AD24" s="3"/>
      <c r="AE24" s="3"/>
      <c r="AF24" s="3"/>
      <c r="AG24" s="3"/>
      <c r="AH24" s="3"/>
      <c r="AI24" s="3"/>
      <c r="AJ24" s="127">
        <f>AC24-AB24</f>
        <v>-7.09</v>
      </c>
      <c r="AK24" s="129">
        <f>AC24/AB24</f>
        <v>0</v>
      </c>
      <c r="AL24" s="3">
        <f>AL25+AL26</f>
        <v>7.09</v>
      </c>
      <c r="AM24" s="3"/>
      <c r="AN24" s="3">
        <f>AN25+AN26</f>
        <v>7.09</v>
      </c>
      <c r="AO24" s="3"/>
      <c r="AP24" s="3"/>
      <c r="AQ24" s="3"/>
      <c r="AR24" s="3"/>
      <c r="AS24" s="3"/>
      <c r="AT24" s="3"/>
      <c r="AU24" s="3"/>
      <c r="AV24" s="127">
        <f>AO24-AN24</f>
        <v>-7.09</v>
      </c>
      <c r="AW24" s="129">
        <f>AO24/AN24</f>
        <v>0</v>
      </c>
      <c r="AX24" s="33">
        <f>AX25+AX26</f>
        <v>43.5</v>
      </c>
      <c r="AY24" s="33">
        <v>70.39</v>
      </c>
      <c r="AZ24" s="102">
        <f>AZ25+AZ26</f>
        <v>19.09</v>
      </c>
      <c r="BA24" s="103">
        <f>AY24</f>
        <v>70.39</v>
      </c>
      <c r="BB24" s="103"/>
      <c r="BC24" s="103"/>
      <c r="BD24" s="103"/>
      <c r="BE24" s="104"/>
      <c r="BF24" s="102"/>
      <c r="BG24" s="103"/>
      <c r="BH24" s="103"/>
      <c r="BI24" s="104"/>
      <c r="BJ24" s="417">
        <f>BA24-AZ24</f>
        <v>51.3</v>
      </c>
      <c r="BK24" s="418">
        <f>BA24/AZ24</f>
        <v>3.6872708224201154</v>
      </c>
      <c r="BL24" s="419"/>
      <c r="BM24" s="102"/>
      <c r="BN24" s="103"/>
      <c r="BO24" s="420"/>
      <c r="BP24" s="102"/>
      <c r="BQ24" s="103"/>
      <c r="BR24" s="103"/>
      <c r="BS24" s="421"/>
      <c r="BT24" s="102"/>
      <c r="BU24" s="103"/>
      <c r="BV24" s="103"/>
      <c r="BW24" s="421"/>
      <c r="BX24" s="422">
        <v>78.010000000000005</v>
      </c>
      <c r="BY24" s="423">
        <f>BY25+BY26</f>
        <v>85</v>
      </c>
      <c r="BZ24" s="33">
        <f>BZ25+BZ26</f>
        <v>91.91</v>
      </c>
      <c r="CA24" s="102">
        <f>BZ24-BY24</f>
        <v>6.9099999999999966</v>
      </c>
      <c r="CB24" s="424">
        <f>BZ24/BY24</f>
        <v>1.0812941176470587</v>
      </c>
      <c r="CC24" s="93">
        <f>BZ24-E24</f>
        <v>25.209999999999994</v>
      </c>
      <c r="CD24" s="425">
        <v>91.91</v>
      </c>
      <c r="CE24" s="103"/>
      <c r="CF24" s="104"/>
      <c r="CG24" s="406"/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6"/>
      <c r="DA24" s="33">
        <v>66.7</v>
      </c>
      <c r="DB24" s="33">
        <v>72.2</v>
      </c>
      <c r="DC24" s="78">
        <v>68.59</v>
      </c>
      <c r="DD24" s="78">
        <v>65.8</v>
      </c>
      <c r="DE24" s="78">
        <v>68.59</v>
      </c>
      <c r="DF24" s="828">
        <v>36.1</v>
      </c>
      <c r="DG24" s="134">
        <v>37.81</v>
      </c>
      <c r="DI24" s="826"/>
      <c r="DJ24" s="788"/>
    </row>
    <row r="25" spans="1:114" s="783" customFormat="1" ht="12" hidden="1" customHeight="1">
      <c r="A25" s="130"/>
      <c r="B25" s="131" t="s">
        <v>336</v>
      </c>
      <c r="C25" s="829" t="s">
        <v>81</v>
      </c>
      <c r="D25" s="79">
        <v>81.3</v>
      </c>
      <c r="E25" s="79">
        <v>81.3</v>
      </c>
      <c r="F25" s="79">
        <v>81.3</v>
      </c>
      <c r="G25" s="79">
        <v>81.3</v>
      </c>
      <c r="H25" s="133">
        <v>79.53</v>
      </c>
      <c r="I25" s="134"/>
      <c r="J25" s="134"/>
      <c r="K25" s="134"/>
      <c r="L25" s="133">
        <v>6.625</v>
      </c>
      <c r="M25" s="133">
        <v>5.8500100000000002</v>
      </c>
      <c r="N25" s="133">
        <v>6.63</v>
      </c>
      <c r="O25" s="133">
        <f>M25</f>
        <v>5.8500100000000002</v>
      </c>
      <c r="P25" s="133"/>
      <c r="Q25" s="133"/>
      <c r="R25" s="134"/>
      <c r="S25" s="134"/>
      <c r="T25" s="134"/>
      <c r="U25" s="134"/>
      <c r="V25" s="134"/>
      <c r="W25" s="134"/>
      <c r="X25" s="135">
        <f>O25-N25</f>
        <v>-0.77998999999999974</v>
      </c>
      <c r="Y25" s="136">
        <f>O25/N25</f>
        <v>0.88235444947209651</v>
      </c>
      <c r="Z25" s="133">
        <v>6.63</v>
      </c>
      <c r="AA25" s="133"/>
      <c r="AB25" s="133">
        <v>6.63</v>
      </c>
      <c r="AC25" s="133"/>
      <c r="AD25" s="134"/>
      <c r="AE25" s="134"/>
      <c r="AF25" s="134"/>
      <c r="AG25" s="134"/>
      <c r="AH25" s="134"/>
      <c r="AI25" s="134"/>
      <c r="AJ25" s="135">
        <f>AC25-AB25</f>
        <v>-6.63</v>
      </c>
      <c r="AK25" s="137">
        <f>AC25/AB25</f>
        <v>0</v>
      </c>
      <c r="AL25" s="133">
        <v>6.63</v>
      </c>
      <c r="AM25" s="133"/>
      <c r="AN25" s="133">
        <v>6.63</v>
      </c>
      <c r="AO25" s="133"/>
      <c r="AP25" s="134"/>
      <c r="AQ25" s="134"/>
      <c r="AR25" s="134"/>
      <c r="AS25" s="134"/>
      <c r="AT25" s="134"/>
      <c r="AU25" s="134"/>
      <c r="AV25" s="135">
        <f>AO25-AN25</f>
        <v>-6.63</v>
      </c>
      <c r="AW25" s="137">
        <f>AO25/AN25</f>
        <v>0</v>
      </c>
      <c r="AX25" s="79">
        <f t="shared" ref="AX25:AX30" si="3">G25/2</f>
        <v>40.65</v>
      </c>
      <c r="AY25" s="79">
        <v>86.19</v>
      </c>
      <c r="AZ25" s="138">
        <v>17.86</v>
      </c>
      <c r="BA25" s="139">
        <f>AY25</f>
        <v>86.19</v>
      </c>
      <c r="BB25" s="62"/>
      <c r="BC25" s="62"/>
      <c r="BD25" s="62"/>
      <c r="BE25" s="110"/>
      <c r="BF25" s="109"/>
      <c r="BG25" s="62"/>
      <c r="BH25" s="62"/>
      <c r="BI25" s="110"/>
      <c r="BJ25" s="426">
        <f>BA25-AZ25</f>
        <v>68.33</v>
      </c>
      <c r="BK25" s="427">
        <f>BA25/AZ25</f>
        <v>4.8258678611422177</v>
      </c>
      <c r="BL25" s="428"/>
      <c r="BM25" s="109"/>
      <c r="BN25" s="62"/>
      <c r="BO25" s="429"/>
      <c r="BP25" s="109"/>
      <c r="BQ25" s="62"/>
      <c r="BR25" s="62"/>
      <c r="BS25" s="430"/>
      <c r="BT25" s="109"/>
      <c r="BU25" s="62"/>
      <c r="BV25" s="62"/>
      <c r="BW25" s="430"/>
      <c r="BX25" s="431"/>
      <c r="BY25" s="432">
        <v>79.53</v>
      </c>
      <c r="BZ25" s="31">
        <v>86</v>
      </c>
      <c r="CA25" s="109"/>
      <c r="CB25" s="433"/>
      <c r="CC25" s="72"/>
      <c r="CD25" s="434">
        <v>86</v>
      </c>
      <c r="CE25" s="62"/>
      <c r="CF25" s="110"/>
      <c r="CG25" s="406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79">
        <v>86.19</v>
      </c>
      <c r="DB25" s="79">
        <v>86.19</v>
      </c>
      <c r="DC25" s="79">
        <v>81.3</v>
      </c>
      <c r="DD25" s="79">
        <v>81.3</v>
      </c>
      <c r="DE25" s="79">
        <v>81.3</v>
      </c>
      <c r="DF25" s="830">
        <v>81.3</v>
      </c>
      <c r="DG25" s="134">
        <f>DF25/2</f>
        <v>40.65</v>
      </c>
      <c r="DI25" s="826"/>
      <c r="DJ25" s="788"/>
    </row>
    <row r="26" spans="1:114" s="783" customFormat="1" ht="12" hidden="1" customHeight="1">
      <c r="A26" s="130"/>
      <c r="B26" s="131" t="s">
        <v>337</v>
      </c>
      <c r="C26" s="829" t="s">
        <v>81</v>
      </c>
      <c r="D26" s="79">
        <v>5.7</v>
      </c>
      <c r="E26" s="79">
        <v>5.7</v>
      </c>
      <c r="F26" s="79">
        <v>5.7</v>
      </c>
      <c r="G26" s="79">
        <v>5.7</v>
      </c>
      <c r="H26" s="133">
        <v>5.46</v>
      </c>
      <c r="I26" s="134"/>
      <c r="J26" s="134"/>
      <c r="K26" s="134"/>
      <c r="L26" s="133">
        <v>0.45500000000000002</v>
      </c>
      <c r="M26" s="133">
        <v>0.40361000000000002</v>
      </c>
      <c r="N26" s="133">
        <v>0.46</v>
      </c>
      <c r="O26" s="133">
        <f>M26</f>
        <v>0.40361000000000002</v>
      </c>
      <c r="P26" s="133"/>
      <c r="Q26" s="133"/>
      <c r="R26" s="134"/>
      <c r="S26" s="134"/>
      <c r="T26" s="134"/>
      <c r="U26" s="134"/>
      <c r="V26" s="134"/>
      <c r="W26" s="134"/>
      <c r="X26" s="135">
        <f>O26-N26</f>
        <v>-5.6389999999999996E-2</v>
      </c>
      <c r="Y26" s="136">
        <f>O26/N26</f>
        <v>0.87741304347826088</v>
      </c>
      <c r="Z26" s="133">
        <v>0.46</v>
      </c>
      <c r="AA26" s="133"/>
      <c r="AB26" s="133">
        <v>0.46</v>
      </c>
      <c r="AC26" s="133"/>
      <c r="AD26" s="134"/>
      <c r="AE26" s="134"/>
      <c r="AF26" s="134"/>
      <c r="AG26" s="134"/>
      <c r="AH26" s="134"/>
      <c r="AI26" s="134"/>
      <c r="AJ26" s="135">
        <f>AC26-AB26</f>
        <v>-0.46</v>
      </c>
      <c r="AK26" s="137">
        <f>AC26/AB26</f>
        <v>0</v>
      </c>
      <c r="AL26" s="133">
        <v>0.46</v>
      </c>
      <c r="AM26" s="133"/>
      <c r="AN26" s="133">
        <v>0.46</v>
      </c>
      <c r="AO26" s="133"/>
      <c r="AP26" s="134"/>
      <c r="AQ26" s="134"/>
      <c r="AR26" s="134"/>
      <c r="AS26" s="134"/>
      <c r="AT26" s="134"/>
      <c r="AU26" s="134"/>
      <c r="AV26" s="135">
        <f>AO26-AN26</f>
        <v>-0.46</v>
      </c>
      <c r="AW26" s="137">
        <f>AO26/AN26</f>
        <v>0</v>
      </c>
      <c r="AX26" s="79">
        <f t="shared" si="3"/>
        <v>2.85</v>
      </c>
      <c r="AY26" s="79">
        <v>2.82</v>
      </c>
      <c r="AZ26" s="138">
        <v>1.23</v>
      </c>
      <c r="BA26" s="139">
        <f>AY26</f>
        <v>2.82</v>
      </c>
      <c r="BB26" s="62"/>
      <c r="BC26" s="62"/>
      <c r="BD26" s="62"/>
      <c r="BE26" s="110"/>
      <c r="BF26" s="109"/>
      <c r="BG26" s="62"/>
      <c r="BH26" s="62"/>
      <c r="BI26" s="110"/>
      <c r="BJ26" s="426">
        <f>BA26-AZ26</f>
        <v>1.5899999999999999</v>
      </c>
      <c r="BK26" s="427">
        <f>BA26/AZ26</f>
        <v>2.2926829268292681</v>
      </c>
      <c r="BL26" s="428"/>
      <c r="BM26" s="109"/>
      <c r="BN26" s="62"/>
      <c r="BO26" s="429"/>
      <c r="BP26" s="109"/>
      <c r="BQ26" s="62"/>
      <c r="BR26" s="62"/>
      <c r="BS26" s="430"/>
      <c r="BT26" s="109"/>
      <c r="BU26" s="62"/>
      <c r="BV26" s="62"/>
      <c r="BW26" s="430"/>
      <c r="BX26" s="431"/>
      <c r="BY26" s="432">
        <v>5.47</v>
      </c>
      <c r="BZ26" s="31">
        <v>5.91</v>
      </c>
      <c r="CA26" s="109"/>
      <c r="CB26" s="433"/>
      <c r="CC26" s="72"/>
      <c r="CD26" s="434">
        <v>5.91</v>
      </c>
      <c r="CE26" s="62"/>
      <c r="CF26" s="110"/>
      <c r="CG26" s="406"/>
      <c r="CH26" s="406"/>
      <c r="CI26" s="406"/>
      <c r="CJ26" s="406"/>
      <c r="CK26" s="406"/>
      <c r="CL26" s="406"/>
      <c r="CM26" s="406"/>
      <c r="CN26" s="406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6"/>
      <c r="CZ26" s="406"/>
      <c r="DA26" s="79">
        <v>2.82</v>
      </c>
      <c r="DB26" s="79">
        <v>2.82</v>
      </c>
      <c r="DC26" s="79">
        <v>5.7</v>
      </c>
      <c r="DD26" s="79">
        <v>5.7</v>
      </c>
      <c r="DE26" s="79">
        <v>5.7</v>
      </c>
      <c r="DF26" s="830">
        <v>5.7</v>
      </c>
      <c r="DG26" s="134">
        <f>DF26/2</f>
        <v>2.85</v>
      </c>
      <c r="DI26" s="826"/>
      <c r="DJ26" s="788"/>
    </row>
    <row r="27" spans="1:114" s="783" customFormat="1">
      <c r="A27" s="130"/>
      <c r="B27" s="131" t="s">
        <v>88</v>
      </c>
      <c r="C27" s="829" t="s">
        <v>81</v>
      </c>
      <c r="D27" s="31">
        <v>30</v>
      </c>
      <c r="E27" s="31">
        <v>34.450000000000003</v>
      </c>
      <c r="F27" s="31">
        <v>36.47</v>
      </c>
      <c r="G27" s="31">
        <v>36.47</v>
      </c>
      <c r="H27" s="134"/>
      <c r="I27" s="134">
        <v>36</v>
      </c>
      <c r="J27" s="134">
        <v>9.5</v>
      </c>
      <c r="K27" s="134">
        <v>26.5</v>
      </c>
      <c r="L27" s="134">
        <f>G27/12</f>
        <v>3.0391666666666666</v>
      </c>
      <c r="M27" s="134">
        <v>2.9249900000000002</v>
      </c>
      <c r="N27" s="134"/>
      <c r="O27" s="134"/>
      <c r="P27" s="134"/>
      <c r="Q27" s="134"/>
      <c r="R27" s="134">
        <f>J27/12</f>
        <v>0.79166666666666663</v>
      </c>
      <c r="S27" s="134">
        <f>M27*26.37/100</f>
        <v>0.77131986300000011</v>
      </c>
      <c r="T27" s="134">
        <f>K27/12</f>
        <v>2.2083333333333335</v>
      </c>
      <c r="U27" s="134">
        <f>M27-S27</f>
        <v>2.1536701370000002</v>
      </c>
      <c r="V27" s="134"/>
      <c r="W27" s="134"/>
      <c r="X27" s="140"/>
      <c r="Y27" s="136"/>
      <c r="Z27" s="134">
        <v>3</v>
      </c>
      <c r="AA27" s="134"/>
      <c r="AB27" s="134"/>
      <c r="AC27" s="134"/>
      <c r="AD27" s="134">
        <v>0.79</v>
      </c>
      <c r="AE27" s="134"/>
      <c r="AF27" s="134">
        <v>2.21</v>
      </c>
      <c r="AG27" s="134"/>
      <c r="AH27" s="134"/>
      <c r="AI27" s="134"/>
      <c r="AJ27" s="140"/>
      <c r="AK27" s="137"/>
      <c r="AL27" s="134">
        <v>3</v>
      </c>
      <c r="AM27" s="134"/>
      <c r="AN27" s="134"/>
      <c r="AO27" s="134"/>
      <c r="AP27" s="134">
        <v>0.79</v>
      </c>
      <c r="AQ27" s="134"/>
      <c r="AR27" s="134">
        <v>2.21</v>
      </c>
      <c r="AS27" s="134"/>
      <c r="AT27" s="134"/>
      <c r="AU27" s="134"/>
      <c r="AV27" s="140"/>
      <c r="AW27" s="137"/>
      <c r="AX27" s="31">
        <f t="shared" si="3"/>
        <v>18.234999999999999</v>
      </c>
      <c r="AY27" s="31">
        <v>31.21</v>
      </c>
      <c r="AZ27" s="109">
        <v>9.1199999999999992</v>
      </c>
      <c r="BA27" s="62"/>
      <c r="BB27" s="62">
        <f>AX27</f>
        <v>18.234999999999999</v>
      </c>
      <c r="BC27" s="62">
        <f>AY27</f>
        <v>31.21</v>
      </c>
      <c r="BD27" s="62"/>
      <c r="BE27" s="110"/>
      <c r="BF27" s="109"/>
      <c r="BG27" s="62"/>
      <c r="BH27" s="62"/>
      <c r="BI27" s="110"/>
      <c r="BJ27" s="426"/>
      <c r="BK27" s="427"/>
      <c r="BL27" s="428"/>
      <c r="BM27" s="109"/>
      <c r="BN27" s="62"/>
      <c r="BO27" s="429"/>
      <c r="BP27" s="109"/>
      <c r="BQ27" s="62"/>
      <c r="BR27" s="62"/>
      <c r="BS27" s="430"/>
      <c r="BT27" s="109"/>
      <c r="BU27" s="62"/>
      <c r="BV27" s="62"/>
      <c r="BW27" s="430"/>
      <c r="BX27" s="431">
        <v>36.590000000000003</v>
      </c>
      <c r="BY27" s="432">
        <f>L27+BL27+BP27+BT27</f>
        <v>3.0391666666666666</v>
      </c>
      <c r="BZ27" s="31">
        <v>43</v>
      </c>
      <c r="CA27" s="109">
        <f>BZ27-BY27</f>
        <v>39.960833333333333</v>
      </c>
      <c r="CB27" s="433">
        <f>BZ27/BY27</f>
        <v>14.148615300246778</v>
      </c>
      <c r="CC27" s="72">
        <f>BZ27-E27</f>
        <v>8.5499999999999972</v>
      </c>
      <c r="CD27" s="434">
        <v>43</v>
      </c>
      <c r="CE27" s="62"/>
      <c r="CF27" s="110"/>
      <c r="CG27" s="406"/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6"/>
      <c r="DA27" s="31">
        <v>34.450000000000003</v>
      </c>
      <c r="DB27" s="31">
        <v>36.47</v>
      </c>
      <c r="DC27" s="31">
        <v>30.63</v>
      </c>
      <c r="DD27" s="31">
        <v>29.26</v>
      </c>
      <c r="DE27" s="31">
        <v>30.63</v>
      </c>
      <c r="DF27" s="432">
        <v>16</v>
      </c>
      <c r="DG27" s="134">
        <v>16</v>
      </c>
      <c r="DI27" s="826"/>
      <c r="DJ27" s="788"/>
    </row>
    <row r="28" spans="1:114" s="783" customFormat="1">
      <c r="A28" s="141"/>
      <c r="B28" s="142" t="s">
        <v>90</v>
      </c>
      <c r="C28" s="831" t="s">
        <v>81</v>
      </c>
      <c r="D28" s="78">
        <v>8</v>
      </c>
      <c r="E28" s="78">
        <v>8.6</v>
      </c>
      <c r="F28" s="78">
        <v>8.6</v>
      </c>
      <c r="G28" s="78">
        <v>8.6</v>
      </c>
      <c r="H28" s="145">
        <v>25.6</v>
      </c>
      <c r="I28" s="145"/>
      <c r="J28" s="145"/>
      <c r="K28" s="145"/>
      <c r="L28" s="145">
        <f>G28/12</f>
        <v>0.71666666666666667</v>
      </c>
      <c r="M28" s="145">
        <v>0.66439000000000004</v>
      </c>
      <c r="N28" s="145"/>
      <c r="O28" s="145"/>
      <c r="P28" s="145">
        <f>L28</f>
        <v>0.71666666666666667</v>
      </c>
      <c r="Q28" s="145">
        <f>M28</f>
        <v>0.66439000000000004</v>
      </c>
      <c r="R28" s="145"/>
      <c r="S28" s="145"/>
      <c r="T28" s="145"/>
      <c r="U28" s="145"/>
      <c r="V28" s="145"/>
      <c r="W28" s="145"/>
      <c r="X28" s="146">
        <f>O28-N28</f>
        <v>0</v>
      </c>
      <c r="Y28" s="147" t="e">
        <f>O28/N28</f>
        <v>#DIV/0!</v>
      </c>
      <c r="Z28" s="145">
        <v>2.13</v>
      </c>
      <c r="AA28" s="145"/>
      <c r="AB28" s="145">
        <v>2.13</v>
      </c>
      <c r="AC28" s="145"/>
      <c r="AD28" s="145"/>
      <c r="AE28" s="145"/>
      <c r="AF28" s="145"/>
      <c r="AG28" s="145"/>
      <c r="AH28" s="145"/>
      <c r="AI28" s="145"/>
      <c r="AJ28" s="146">
        <f>AC28-AB28</f>
        <v>-2.13</v>
      </c>
      <c r="AK28" s="148">
        <f>AC28/AB28</f>
        <v>0</v>
      </c>
      <c r="AL28" s="145">
        <v>2.13</v>
      </c>
      <c r="AM28" s="145"/>
      <c r="AN28" s="145">
        <v>2.13</v>
      </c>
      <c r="AO28" s="145"/>
      <c r="AP28" s="145"/>
      <c r="AQ28" s="145"/>
      <c r="AR28" s="145"/>
      <c r="AS28" s="145"/>
      <c r="AT28" s="145"/>
      <c r="AU28" s="145"/>
      <c r="AV28" s="146">
        <f>AO28-AN28</f>
        <v>-2.13</v>
      </c>
      <c r="AW28" s="148">
        <f>AO28/AN28</f>
        <v>0</v>
      </c>
      <c r="AX28" s="144">
        <f t="shared" si="3"/>
        <v>4.3</v>
      </c>
      <c r="AY28" s="144">
        <v>6.03</v>
      </c>
      <c r="AZ28" s="149">
        <v>1.42</v>
      </c>
      <c r="BA28" s="150"/>
      <c r="BB28" s="150"/>
      <c r="BC28" s="150"/>
      <c r="BD28" s="150">
        <v>6.4</v>
      </c>
      <c r="BE28" s="151">
        <f>AY28</f>
        <v>6.03</v>
      </c>
      <c r="BF28" s="149"/>
      <c r="BG28" s="150"/>
      <c r="BH28" s="150"/>
      <c r="BI28" s="151"/>
      <c r="BJ28" s="435">
        <f>BA28-AZ28</f>
        <v>-1.42</v>
      </c>
      <c r="BK28" s="436">
        <f>BA28/AZ28</f>
        <v>0</v>
      </c>
      <c r="BL28" s="437"/>
      <c r="BM28" s="149"/>
      <c r="BN28" s="150"/>
      <c r="BO28" s="438"/>
      <c r="BP28" s="149"/>
      <c r="BQ28" s="150"/>
      <c r="BR28" s="150"/>
      <c r="BS28" s="439"/>
      <c r="BT28" s="149"/>
      <c r="BU28" s="150"/>
      <c r="BV28" s="150"/>
      <c r="BW28" s="439"/>
      <c r="BX28" s="440">
        <v>23.14</v>
      </c>
      <c r="BY28" s="441">
        <f>L28+BL28+BP28+BT28</f>
        <v>0.71666666666666667</v>
      </c>
      <c r="BZ28" s="144">
        <v>8.86</v>
      </c>
      <c r="CA28" s="149">
        <f>BZ28-BY28</f>
        <v>8.1433333333333326</v>
      </c>
      <c r="CB28" s="442">
        <f>BZ28/BY28</f>
        <v>12.362790697674418</v>
      </c>
      <c r="CC28" s="246">
        <f>BZ28-E28</f>
        <v>0.25999999999999979</v>
      </c>
      <c r="CD28" s="443">
        <v>8.86</v>
      </c>
      <c r="CE28" s="150"/>
      <c r="CF28" s="151"/>
      <c r="CG28" s="406"/>
      <c r="CH28" s="406"/>
      <c r="CI28" s="406"/>
      <c r="CJ28" s="406"/>
      <c r="CK28" s="406"/>
      <c r="CL28" s="406"/>
      <c r="CM28" s="406"/>
      <c r="CN28" s="406"/>
      <c r="CO28" s="406"/>
      <c r="CP28" s="406"/>
      <c r="CQ28" s="406"/>
      <c r="CR28" s="406"/>
      <c r="CS28" s="406"/>
      <c r="CT28" s="406"/>
      <c r="CU28" s="406"/>
      <c r="CV28" s="406"/>
      <c r="CW28" s="406"/>
      <c r="CX28" s="406"/>
      <c r="CY28" s="406"/>
      <c r="CZ28" s="406"/>
      <c r="DA28" s="144">
        <v>8.6</v>
      </c>
      <c r="DB28" s="144">
        <f>8.6</f>
        <v>8.6</v>
      </c>
      <c r="DC28" s="78">
        <v>8.4</v>
      </c>
      <c r="DD28" s="78">
        <v>11.39</v>
      </c>
      <c r="DE28" s="78">
        <v>8.4</v>
      </c>
      <c r="DF28" s="828">
        <v>4.3</v>
      </c>
      <c r="DG28" s="134">
        <v>4.3</v>
      </c>
      <c r="DI28" s="826"/>
      <c r="DJ28" s="788"/>
    </row>
    <row r="29" spans="1:114" s="783" customFormat="1" ht="24" hidden="1" customHeight="1">
      <c r="A29" s="141"/>
      <c r="B29" s="142" t="s">
        <v>155</v>
      </c>
      <c r="C29" s="829" t="s">
        <v>81</v>
      </c>
      <c r="D29" s="31"/>
      <c r="E29" s="31"/>
      <c r="F29" s="31"/>
      <c r="G29" s="31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6"/>
      <c r="Y29" s="147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6"/>
      <c r="AK29" s="148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6"/>
      <c r="AW29" s="148"/>
      <c r="AX29" s="144">
        <f t="shared" si="3"/>
        <v>0</v>
      </c>
      <c r="AY29" s="144"/>
      <c r="AZ29" s="149"/>
      <c r="BA29" s="150"/>
      <c r="BB29" s="150"/>
      <c r="BC29" s="150"/>
      <c r="BD29" s="150"/>
      <c r="BE29" s="151"/>
      <c r="BF29" s="149">
        <f>AY29</f>
        <v>0</v>
      </c>
      <c r="BG29" s="150"/>
      <c r="BH29" s="150"/>
      <c r="BI29" s="151"/>
      <c r="BJ29" s="435"/>
      <c r="BK29" s="436"/>
      <c r="BL29" s="437"/>
      <c r="BM29" s="149"/>
      <c r="BN29" s="150"/>
      <c r="BO29" s="438"/>
      <c r="BP29" s="149"/>
      <c r="BQ29" s="150"/>
      <c r="BR29" s="150"/>
      <c r="BS29" s="439"/>
      <c r="BT29" s="149"/>
      <c r="BU29" s="150"/>
      <c r="BV29" s="150"/>
      <c r="BW29" s="439"/>
      <c r="BX29" s="440"/>
      <c r="BY29" s="441"/>
      <c r="BZ29" s="144"/>
      <c r="CA29" s="149"/>
      <c r="CB29" s="442"/>
      <c r="CC29" s="246"/>
      <c r="CD29" s="443"/>
      <c r="CE29" s="150"/>
      <c r="CF29" s="151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6"/>
      <c r="DA29" s="144"/>
      <c r="DB29" s="144"/>
      <c r="DC29" s="31"/>
      <c r="DD29" s="31"/>
      <c r="DE29" s="31"/>
      <c r="DF29" s="31"/>
      <c r="DG29" s="3"/>
      <c r="DI29" s="826"/>
      <c r="DJ29" s="788"/>
    </row>
    <row r="30" spans="1:114" s="783" customFormat="1" ht="12" hidden="1" customHeight="1">
      <c r="A30" s="130"/>
      <c r="B30" s="131" t="s">
        <v>89</v>
      </c>
      <c r="C30" s="829" t="s">
        <v>81</v>
      </c>
      <c r="D30" s="31"/>
      <c r="E30" s="31"/>
      <c r="F30" s="31"/>
      <c r="G30" s="31"/>
      <c r="H30" s="134"/>
      <c r="I30" s="134"/>
      <c r="J30" s="134"/>
      <c r="K30" s="134"/>
      <c r="L30" s="134"/>
      <c r="M30" s="134">
        <v>0.252</v>
      </c>
      <c r="N30" s="134"/>
      <c r="O30" s="134"/>
      <c r="P30" s="134"/>
      <c r="Q30" s="134"/>
      <c r="R30" s="134"/>
      <c r="S30" s="134"/>
      <c r="T30" s="134"/>
      <c r="U30" s="134"/>
      <c r="V30" s="134">
        <f>M30</f>
        <v>0.252</v>
      </c>
      <c r="W30" s="134"/>
      <c r="X30" s="140"/>
      <c r="Y30" s="136"/>
      <c r="Z30" s="134"/>
      <c r="AA30" s="134">
        <v>0.57499999999999996</v>
      </c>
      <c r="AB30" s="134"/>
      <c r="AC30" s="134"/>
      <c r="AD30" s="134"/>
      <c r="AE30" s="134"/>
      <c r="AF30" s="134"/>
      <c r="AG30" s="134"/>
      <c r="AH30" s="134"/>
      <c r="AI30" s="134"/>
      <c r="AJ30" s="140"/>
      <c r="AK30" s="137"/>
      <c r="AL30" s="134"/>
      <c r="AM30" s="134">
        <v>0.57499999999999996</v>
      </c>
      <c r="AN30" s="134"/>
      <c r="AO30" s="134"/>
      <c r="AP30" s="134"/>
      <c r="AQ30" s="134"/>
      <c r="AR30" s="134"/>
      <c r="AS30" s="134"/>
      <c r="AT30" s="134"/>
      <c r="AU30" s="134"/>
      <c r="AV30" s="140"/>
      <c r="AW30" s="137"/>
      <c r="AX30" s="31">
        <f t="shared" si="3"/>
        <v>0</v>
      </c>
      <c r="AY30" s="31"/>
      <c r="AZ30" s="109"/>
      <c r="BA30" s="62"/>
      <c r="BB30" s="62"/>
      <c r="BC30" s="62"/>
      <c r="BD30" s="62"/>
      <c r="BE30" s="110"/>
      <c r="BF30" s="109"/>
      <c r="BG30" s="62">
        <f>AY30</f>
        <v>0</v>
      </c>
      <c r="BH30" s="62"/>
      <c r="BI30" s="110"/>
      <c r="BJ30" s="426"/>
      <c r="BK30" s="427"/>
      <c r="BL30" s="428"/>
      <c r="BM30" s="109">
        <v>0.57499999999999996</v>
      </c>
      <c r="BN30" s="62"/>
      <c r="BO30" s="429"/>
      <c r="BP30" s="109"/>
      <c r="BQ30" s="62"/>
      <c r="BR30" s="62"/>
      <c r="BS30" s="430"/>
      <c r="BT30" s="109"/>
      <c r="BU30" s="62"/>
      <c r="BV30" s="62"/>
      <c r="BW30" s="430"/>
      <c r="BX30" s="431"/>
      <c r="BY30" s="432">
        <f>L30+BL30+BP30+BT30</f>
        <v>0</v>
      </c>
      <c r="BZ30" s="31">
        <f>M30+BM30+BQ30+BU30</f>
        <v>0.82699999999999996</v>
      </c>
      <c r="CA30" s="109">
        <f>BZ30-BY30</f>
        <v>0.82699999999999996</v>
      </c>
      <c r="CB30" s="433">
        <v>0</v>
      </c>
      <c r="CC30" s="72">
        <f>BZ30-E30</f>
        <v>0.82699999999999996</v>
      </c>
      <c r="CD30" s="434"/>
      <c r="CE30" s="62">
        <v>4.97</v>
      </c>
      <c r="CF30" s="110"/>
      <c r="CG30" s="406"/>
      <c r="CH30" s="406"/>
      <c r="CI30" s="406"/>
      <c r="CJ30" s="406"/>
      <c r="CK30" s="406"/>
      <c r="CL30" s="406"/>
      <c r="CM30" s="406"/>
      <c r="CN30" s="406"/>
      <c r="CO30" s="406"/>
      <c r="CP30" s="406"/>
      <c r="CQ30" s="406"/>
      <c r="CR30" s="406"/>
      <c r="CS30" s="406"/>
      <c r="CT30" s="406"/>
      <c r="CU30" s="406"/>
      <c r="CV30" s="406"/>
      <c r="CW30" s="406"/>
      <c r="CX30" s="406"/>
      <c r="CY30" s="406"/>
      <c r="CZ30" s="406"/>
      <c r="DA30" s="31"/>
      <c r="DB30" s="31"/>
      <c r="DC30" s="31"/>
      <c r="DD30" s="31"/>
      <c r="DE30" s="31"/>
      <c r="DF30" s="31"/>
      <c r="DG30" s="134"/>
      <c r="DI30" s="826"/>
      <c r="DJ30" s="788"/>
    </row>
    <row r="31" spans="1:114" s="783" customFormat="1" ht="12" customHeight="1">
      <c r="A31" s="152">
        <v>2</v>
      </c>
      <c r="B31" s="153" t="s">
        <v>105</v>
      </c>
      <c r="C31" s="832" t="s">
        <v>54</v>
      </c>
      <c r="D31" s="117">
        <f>SUM(D32:D41)</f>
        <v>45145.58</v>
      </c>
      <c r="E31" s="117">
        <f>SUM(E32:E41)</f>
        <v>46973</v>
      </c>
      <c r="F31" s="117">
        <f>SUM(F32:F41)</f>
        <v>47839.39</v>
      </c>
      <c r="G31" s="117">
        <f>SUM(G32:G41)</f>
        <v>47839.39</v>
      </c>
      <c r="H31" s="117">
        <f t="shared" ref="H31:M31" si="4">SUM(H32:H41)</f>
        <v>19737</v>
      </c>
      <c r="I31" s="117">
        <f t="shared" si="4"/>
        <v>12770</v>
      </c>
      <c r="J31" s="117">
        <f t="shared" si="4"/>
        <v>3230</v>
      </c>
      <c r="K31" s="117">
        <f t="shared" si="4"/>
        <v>9540</v>
      </c>
      <c r="L31" s="117">
        <f t="shared" si="4"/>
        <v>3679.8824999999997</v>
      </c>
      <c r="M31" s="117">
        <f t="shared" si="4"/>
        <v>2722.8766700000006</v>
      </c>
      <c r="N31" s="117">
        <f>N32</f>
        <v>1644.75</v>
      </c>
      <c r="O31" s="117">
        <f>SUM(O32:O41)</f>
        <v>1528.243326</v>
      </c>
      <c r="P31" s="117">
        <f>SUM(P32:P41)</f>
        <v>0</v>
      </c>
      <c r="Q31" s="117">
        <f>SUM(Q32:Q41)</f>
        <v>0</v>
      </c>
      <c r="R31" s="117">
        <f>R33</f>
        <v>269.16666666666669</v>
      </c>
      <c r="S31" s="117">
        <f>SUM(S32:S41)</f>
        <v>233.61555100000001</v>
      </c>
      <c r="T31" s="117">
        <f>T33</f>
        <v>795</v>
      </c>
      <c r="U31" s="117">
        <f t="shared" ref="U31:AA31" si="5">SUM(U32:U41)</f>
        <v>673.68110299999989</v>
      </c>
      <c r="V31" s="117">
        <f t="shared" si="5"/>
        <v>117.252</v>
      </c>
      <c r="W31" s="117">
        <f t="shared" si="5"/>
        <v>170.09</v>
      </c>
      <c r="X31" s="117">
        <f t="shared" si="5"/>
        <v>-141.81999999999994</v>
      </c>
      <c r="Y31" s="119">
        <f t="shared" si="5"/>
        <v>0.9137741298069616</v>
      </c>
      <c r="Z31" s="117">
        <f t="shared" si="5"/>
        <v>2708.92</v>
      </c>
      <c r="AA31" s="117">
        <f t="shared" si="5"/>
        <v>2720.1336100000003</v>
      </c>
      <c r="AB31" s="117">
        <f>AB32</f>
        <v>1644.75</v>
      </c>
      <c r="AC31" s="117">
        <f>AC32</f>
        <v>0</v>
      </c>
      <c r="AD31" s="117">
        <f>AD33</f>
        <v>269.17</v>
      </c>
      <c r="AE31" s="117">
        <f>AE33</f>
        <v>0</v>
      </c>
      <c r="AF31" s="117">
        <f>AF33</f>
        <v>795</v>
      </c>
      <c r="AG31" s="117">
        <f>AG33</f>
        <v>0</v>
      </c>
      <c r="AH31" s="117">
        <f t="shared" ref="AH31:AM31" si="6">SUM(AH32:AH41)</f>
        <v>0</v>
      </c>
      <c r="AI31" s="117">
        <f t="shared" si="6"/>
        <v>0</v>
      </c>
      <c r="AJ31" s="117">
        <f t="shared" si="6"/>
        <v>-1644.75</v>
      </c>
      <c r="AK31" s="120">
        <f t="shared" si="6"/>
        <v>0</v>
      </c>
      <c r="AL31" s="117">
        <f t="shared" si="6"/>
        <v>2708.92</v>
      </c>
      <c r="AM31" s="117">
        <f t="shared" si="6"/>
        <v>2720.1336100000003</v>
      </c>
      <c r="AN31" s="117">
        <f>AN32</f>
        <v>1644.75</v>
      </c>
      <c r="AO31" s="117">
        <f>AO32</f>
        <v>0</v>
      </c>
      <c r="AP31" s="117">
        <f>AP33</f>
        <v>269.17</v>
      </c>
      <c r="AQ31" s="117">
        <f>AQ33</f>
        <v>0</v>
      </c>
      <c r="AR31" s="117">
        <f>AR33</f>
        <v>795</v>
      </c>
      <c r="AS31" s="117">
        <f>AS33</f>
        <v>0</v>
      </c>
      <c r="AT31" s="117">
        <f t="shared" ref="AT31:AY31" si="7">SUM(AT32:AT41)</f>
        <v>0</v>
      </c>
      <c r="AU31" s="117">
        <f t="shared" si="7"/>
        <v>0</v>
      </c>
      <c r="AV31" s="117">
        <f t="shared" si="7"/>
        <v>-1644.75</v>
      </c>
      <c r="AW31" s="120">
        <f t="shared" si="7"/>
        <v>0</v>
      </c>
      <c r="AX31" s="117">
        <f t="shared" si="7"/>
        <v>23919.695</v>
      </c>
      <c r="AY31" s="117">
        <f t="shared" si="7"/>
        <v>38875.15</v>
      </c>
      <c r="AZ31" s="121"/>
      <c r="BA31" s="122">
        <f>SUM(BA32:BA41)</f>
        <v>22937.53</v>
      </c>
      <c r="BB31" s="122">
        <f>BB33</f>
        <v>3192.5</v>
      </c>
      <c r="BC31" s="122">
        <f>BC33</f>
        <v>13358.66</v>
      </c>
      <c r="BD31" s="122">
        <f>BD33</f>
        <v>0</v>
      </c>
      <c r="BE31" s="123">
        <f>SUM(BE32:BE41)</f>
        <v>2578.96</v>
      </c>
      <c r="BF31" s="121">
        <f>SUM(BF32:BF41)</f>
        <v>0</v>
      </c>
      <c r="BG31" s="122">
        <f>SUM(BG32:BG41)</f>
        <v>0</v>
      </c>
      <c r="BH31" s="122">
        <f>SUM(BH32:BH41)</f>
        <v>0</v>
      </c>
      <c r="BI31" s="123">
        <f>SUM(BI32:BI41)</f>
        <v>0</v>
      </c>
      <c r="BJ31" s="288">
        <f>BA31-AZ31</f>
        <v>22937.53</v>
      </c>
      <c r="BK31" s="413" t="e">
        <f>SUM(BK32:BK41)</f>
        <v>#DIV/0!</v>
      </c>
      <c r="BL31" s="408"/>
      <c r="BM31" s="121">
        <f>SUM(BM32:BM41)</f>
        <v>2720.1355100000005</v>
      </c>
      <c r="BN31" s="122"/>
      <c r="BO31" s="409"/>
      <c r="BP31" s="121"/>
      <c r="BQ31" s="122"/>
      <c r="BR31" s="122"/>
      <c r="BS31" s="410"/>
      <c r="BT31" s="121"/>
      <c r="BU31" s="122"/>
      <c r="BV31" s="122"/>
      <c r="BW31" s="410"/>
      <c r="BX31" s="411">
        <f>BX32+BX33</f>
        <v>23075.739999999998</v>
      </c>
      <c r="BY31" s="412">
        <f>SUM(BY32:BY41)</f>
        <v>3679.8824999999997</v>
      </c>
      <c r="BZ31" s="117">
        <f>SUM(BZ32:BZ41)</f>
        <v>5769.9029300000002</v>
      </c>
      <c r="CA31" s="121">
        <f>BZ31-BY31</f>
        <v>2090.0204300000005</v>
      </c>
      <c r="CB31" s="413">
        <f>BZ31/BY31</f>
        <v>1.5679584687826311</v>
      </c>
      <c r="CC31" s="444">
        <f>BZ31-E31</f>
        <v>-41203.097070000003</v>
      </c>
      <c r="CD31" s="415">
        <f>SUM(CD32:CD41)</f>
        <v>28768.18</v>
      </c>
      <c r="CE31" s="122">
        <f>SUM(CE32:CE41)</f>
        <v>2083.29</v>
      </c>
      <c r="CF31" s="123">
        <f>SUM(CF32:CF41)</f>
        <v>2376.7600000000002</v>
      </c>
      <c r="CG31" s="416"/>
      <c r="CH31" s="416"/>
      <c r="CI31" s="416"/>
      <c r="CJ31" s="416"/>
      <c r="CK31" s="416"/>
      <c r="CL31" s="416"/>
      <c r="CM31" s="416"/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416"/>
      <c r="CZ31" s="416"/>
      <c r="DA31" s="117">
        <f t="shared" ref="DA31:DG31" si="8">SUM(DA32:DA41)</f>
        <v>46973.000000000007</v>
      </c>
      <c r="DB31" s="117">
        <f t="shared" si="8"/>
        <v>50193.39</v>
      </c>
      <c r="DC31" s="117">
        <f t="shared" si="8"/>
        <v>51657.599999999999</v>
      </c>
      <c r="DD31" s="117">
        <f t="shared" si="8"/>
        <v>49660.800000000003</v>
      </c>
      <c r="DE31" s="117">
        <f t="shared" si="8"/>
        <v>54886.2</v>
      </c>
      <c r="DF31" s="117">
        <f t="shared" si="8"/>
        <v>24139.200000000004</v>
      </c>
      <c r="DG31" s="117">
        <f t="shared" si="8"/>
        <v>24871.08</v>
      </c>
      <c r="DI31" s="826"/>
      <c r="DJ31" s="788"/>
    </row>
    <row r="32" spans="1:114" s="783" customFormat="1">
      <c r="A32" s="124"/>
      <c r="B32" s="125" t="s">
        <v>87</v>
      </c>
      <c r="C32" s="827" t="s">
        <v>54</v>
      </c>
      <c r="D32" s="78">
        <v>33265.160000000003</v>
      </c>
      <c r="E32" s="78">
        <v>28547.599999999999</v>
      </c>
      <c r="F32" s="78">
        <v>28547.599999999999</v>
      </c>
      <c r="G32" s="78">
        <v>28547.599999999999</v>
      </c>
      <c r="H32" s="3">
        <v>19737</v>
      </c>
      <c r="I32" s="3"/>
      <c r="J32" s="3"/>
      <c r="K32" s="3"/>
      <c r="L32" s="3">
        <f>G32/12</f>
        <v>2378.9666666666667</v>
      </c>
      <c r="M32" s="3">
        <v>1502.92598</v>
      </c>
      <c r="N32" s="3">
        <f>H32/12</f>
        <v>1644.75</v>
      </c>
      <c r="O32" s="3">
        <v>1502.93</v>
      </c>
      <c r="P32" s="3"/>
      <c r="Q32" s="3"/>
      <c r="R32" s="3"/>
      <c r="S32" s="3"/>
      <c r="T32" s="3"/>
      <c r="U32" s="3"/>
      <c r="V32" s="3"/>
      <c r="W32" s="3"/>
      <c r="X32" s="3">
        <f>O32-N32</f>
        <v>-141.81999999999994</v>
      </c>
      <c r="Y32" s="5">
        <f>O32/N32</f>
        <v>0.9137741298069616</v>
      </c>
      <c r="Z32" s="3">
        <v>1644.75</v>
      </c>
      <c r="AA32" s="3">
        <v>1483.6561300000001</v>
      </c>
      <c r="AB32" s="3">
        <v>1644.75</v>
      </c>
      <c r="AC32" s="3"/>
      <c r="AD32" s="3"/>
      <c r="AE32" s="3"/>
      <c r="AF32" s="3"/>
      <c r="AG32" s="3"/>
      <c r="AH32" s="3"/>
      <c r="AI32" s="3"/>
      <c r="AJ32" s="3">
        <f>AC32-AB32</f>
        <v>-1644.75</v>
      </c>
      <c r="AK32" s="6">
        <f>AC32/AB32</f>
        <v>0</v>
      </c>
      <c r="AL32" s="3">
        <v>1644.75</v>
      </c>
      <c r="AM32" s="3">
        <v>1483.6561300000001</v>
      </c>
      <c r="AN32" s="3">
        <v>1644.75</v>
      </c>
      <c r="AO32" s="3"/>
      <c r="AP32" s="3"/>
      <c r="AQ32" s="3"/>
      <c r="AR32" s="3"/>
      <c r="AS32" s="3"/>
      <c r="AT32" s="3"/>
      <c r="AU32" s="3"/>
      <c r="AV32" s="3">
        <f>AO32-AN32</f>
        <v>-1644.75</v>
      </c>
      <c r="AW32" s="6">
        <f>AO32/AN32</f>
        <v>0</v>
      </c>
      <c r="AX32" s="154">
        <f>G32/2</f>
        <v>14273.8</v>
      </c>
      <c r="AY32" s="33">
        <v>22937.53</v>
      </c>
      <c r="AZ32" s="102"/>
      <c r="BA32" s="103">
        <f>AY32</f>
        <v>22937.53</v>
      </c>
      <c r="BB32" s="103"/>
      <c r="BC32" s="103"/>
      <c r="BD32" s="103"/>
      <c r="BE32" s="104"/>
      <c r="BF32" s="102"/>
      <c r="BG32" s="103"/>
      <c r="BH32" s="103"/>
      <c r="BI32" s="104"/>
      <c r="BJ32" s="417">
        <f>BA32-AZ32</f>
        <v>22937.53</v>
      </c>
      <c r="BK32" s="418" t="e">
        <f>BA32/AZ32</f>
        <v>#DIV/0!</v>
      </c>
      <c r="BL32" s="419"/>
      <c r="BM32" s="102">
        <v>1483.6561300000001</v>
      </c>
      <c r="BN32" s="103"/>
      <c r="BO32" s="420"/>
      <c r="BP32" s="102"/>
      <c r="BQ32" s="103"/>
      <c r="BR32" s="103"/>
      <c r="BS32" s="421"/>
      <c r="BT32" s="102"/>
      <c r="BU32" s="103"/>
      <c r="BV32" s="103"/>
      <c r="BW32" s="421"/>
      <c r="BX32" s="422">
        <v>14729.36</v>
      </c>
      <c r="BY32" s="423">
        <f>L32+BL32+BP32+BT32</f>
        <v>2378.9666666666667</v>
      </c>
      <c r="BZ32" s="33">
        <f>M32+BM32+BQ32+BU32</f>
        <v>2986.5821100000003</v>
      </c>
      <c r="CA32" s="102">
        <f>BZ32-BY32</f>
        <v>607.61544333333359</v>
      </c>
      <c r="CB32" s="424">
        <f>BZ32/BY32</f>
        <v>1.2554114993904917</v>
      </c>
      <c r="CC32" s="93">
        <f>BZ32-E32</f>
        <v>-25561.017889999999</v>
      </c>
      <c r="CD32" s="425">
        <v>18016.63</v>
      </c>
      <c r="CE32" s="103"/>
      <c r="CF32" s="104"/>
      <c r="CG32" s="406"/>
      <c r="CH32" s="406"/>
      <c r="CI32" s="406"/>
      <c r="CJ32" s="406"/>
      <c r="CK32" s="406"/>
      <c r="CL32" s="406"/>
      <c r="CM32" s="406"/>
      <c r="CN32" s="406"/>
      <c r="CO32" s="406"/>
      <c r="CP32" s="406"/>
      <c r="CQ32" s="406"/>
      <c r="CR32" s="406"/>
      <c r="CS32" s="406"/>
      <c r="CT32" s="406"/>
      <c r="CU32" s="406"/>
      <c r="CV32" s="406"/>
      <c r="CW32" s="406"/>
      <c r="CX32" s="406"/>
      <c r="CY32" s="406"/>
      <c r="CZ32" s="406"/>
      <c r="DA32" s="33">
        <f>DA24*428</f>
        <v>28547.600000000002</v>
      </c>
      <c r="DB32" s="33">
        <v>30901.599999999999</v>
      </c>
      <c r="DC32" s="78">
        <v>32923.199999999997</v>
      </c>
      <c r="DD32" s="78">
        <v>31584</v>
      </c>
      <c r="DE32" s="78">
        <v>34980.9</v>
      </c>
      <c r="DF32" s="78">
        <f>DF24*428</f>
        <v>15450.800000000001</v>
      </c>
      <c r="DG32" s="78">
        <f>DG24*428</f>
        <v>16182.68</v>
      </c>
      <c r="DI32" s="826"/>
      <c r="DJ32" s="788"/>
    </row>
    <row r="33" spans="1:114" s="783" customFormat="1">
      <c r="A33" s="130"/>
      <c r="B33" s="131" t="s">
        <v>88</v>
      </c>
      <c r="C33" s="829" t="s">
        <v>54</v>
      </c>
      <c r="D33" s="31">
        <v>11880.42</v>
      </c>
      <c r="E33" s="31">
        <v>14744.6</v>
      </c>
      <c r="F33" s="31">
        <v>15610.99</v>
      </c>
      <c r="G33" s="31">
        <v>15610.99</v>
      </c>
      <c r="H33" s="134"/>
      <c r="I33" s="134">
        <v>12770</v>
      </c>
      <c r="J33" s="134">
        <v>3230</v>
      </c>
      <c r="K33" s="134">
        <v>9540</v>
      </c>
      <c r="L33" s="134">
        <f>G33/12</f>
        <v>1300.9158333333332</v>
      </c>
      <c r="M33" s="134">
        <v>856.66881000000001</v>
      </c>
      <c r="N33" s="134"/>
      <c r="O33" s="134"/>
      <c r="P33" s="134"/>
      <c r="Q33" s="134"/>
      <c r="R33" s="134">
        <f>J33/12</f>
        <v>269.16666666666669</v>
      </c>
      <c r="S33" s="134">
        <v>216.74</v>
      </c>
      <c r="T33" s="134">
        <f>K33/12</f>
        <v>795</v>
      </c>
      <c r="U33" s="134">
        <v>639.92999999999995</v>
      </c>
      <c r="V33" s="134"/>
      <c r="W33" s="134"/>
      <c r="X33" s="134"/>
      <c r="Y33" s="155"/>
      <c r="Z33" s="134">
        <v>1064.17</v>
      </c>
      <c r="AA33" s="134">
        <v>795.03348000000005</v>
      </c>
      <c r="AB33" s="134"/>
      <c r="AC33" s="134"/>
      <c r="AD33" s="134">
        <v>269.17</v>
      </c>
      <c r="AE33" s="134"/>
      <c r="AF33" s="134">
        <v>795</v>
      </c>
      <c r="AG33" s="134"/>
      <c r="AH33" s="134"/>
      <c r="AI33" s="134"/>
      <c r="AJ33" s="134"/>
      <c r="AK33" s="156"/>
      <c r="AL33" s="134">
        <v>1064.17</v>
      </c>
      <c r="AM33" s="134">
        <v>795.03348000000005</v>
      </c>
      <c r="AN33" s="134"/>
      <c r="AO33" s="134"/>
      <c r="AP33" s="134">
        <v>269.17</v>
      </c>
      <c r="AQ33" s="134"/>
      <c r="AR33" s="134">
        <v>795</v>
      </c>
      <c r="AS33" s="134"/>
      <c r="AT33" s="134"/>
      <c r="AU33" s="134"/>
      <c r="AV33" s="134"/>
      <c r="AW33" s="156"/>
      <c r="AX33" s="31">
        <f>G33/2</f>
        <v>7805.4949999999999</v>
      </c>
      <c r="AY33" s="31">
        <v>13358.66</v>
      </c>
      <c r="AZ33" s="109"/>
      <c r="BA33" s="62"/>
      <c r="BB33" s="62">
        <v>3192.5</v>
      </c>
      <c r="BC33" s="62">
        <f>AY33</f>
        <v>13358.66</v>
      </c>
      <c r="BD33" s="62"/>
      <c r="BE33" s="110"/>
      <c r="BF33" s="109"/>
      <c r="BG33" s="62"/>
      <c r="BH33" s="62"/>
      <c r="BI33" s="110"/>
      <c r="BJ33" s="426">
        <f>BC33-BB33</f>
        <v>10166.16</v>
      </c>
      <c r="BK33" s="427">
        <f>BC33/BB33</f>
        <v>4.1843884103367266</v>
      </c>
      <c r="BL33" s="428"/>
      <c r="BM33" s="109">
        <v>795.03348000000005</v>
      </c>
      <c r="BN33" s="62"/>
      <c r="BO33" s="429"/>
      <c r="BP33" s="109"/>
      <c r="BQ33" s="62"/>
      <c r="BR33" s="62"/>
      <c r="BS33" s="430"/>
      <c r="BT33" s="109"/>
      <c r="BU33" s="62"/>
      <c r="BV33" s="62"/>
      <c r="BW33" s="430"/>
      <c r="BX33" s="431">
        <v>8346.3799999999992</v>
      </c>
      <c r="BY33" s="432">
        <f>L33+BL33+BP33+BT33</f>
        <v>1300.9158333333332</v>
      </c>
      <c r="BZ33" s="31">
        <f>M33+BM33+BQ33+BU33</f>
        <v>1651.7022900000002</v>
      </c>
      <c r="CA33" s="109">
        <f>BZ33-BY33</f>
        <v>350.78645666666694</v>
      </c>
      <c r="CB33" s="433">
        <f>BZ33/BY33</f>
        <v>1.269645773906716</v>
      </c>
      <c r="CC33" s="72">
        <f>BZ33-E33</f>
        <v>-13092.897710000001</v>
      </c>
      <c r="CD33" s="434">
        <v>10363.08</v>
      </c>
      <c r="CE33" s="62"/>
      <c r="CF33" s="110"/>
      <c r="CG33" s="406"/>
      <c r="CH33" s="406"/>
      <c r="CI33" s="406"/>
      <c r="CJ33" s="406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31">
        <f>DA27*428</f>
        <v>14744.6</v>
      </c>
      <c r="DB33" s="31">
        <v>15610.99</v>
      </c>
      <c r="DC33" s="31">
        <f>DC27*480</f>
        <v>14702.4</v>
      </c>
      <c r="DD33" s="31">
        <v>14044.8</v>
      </c>
      <c r="DE33" s="31">
        <f>DE27*510</f>
        <v>15621.3</v>
      </c>
      <c r="DF33" s="31">
        <f>DF27*428</f>
        <v>6848</v>
      </c>
      <c r="DG33" s="31">
        <f t="shared" ref="DG33:DG34" si="9">DG27*428</f>
        <v>6848</v>
      </c>
      <c r="DI33" s="826"/>
      <c r="DJ33" s="788"/>
    </row>
    <row r="34" spans="1:114" s="783" customFormat="1" ht="14.25" customHeight="1">
      <c r="A34" s="130"/>
      <c r="B34" s="131" t="s">
        <v>294</v>
      </c>
      <c r="C34" s="829" t="s">
        <v>54</v>
      </c>
      <c r="D34" s="31">
        <v>0</v>
      </c>
      <c r="E34" s="31">
        <v>3680.8</v>
      </c>
      <c r="F34" s="31">
        <v>3680.8</v>
      </c>
      <c r="G34" s="31">
        <v>3680.8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55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56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56"/>
      <c r="AX34" s="31">
        <f>G34/2</f>
        <v>1840.4</v>
      </c>
      <c r="AY34" s="31">
        <f>1241.46+1337.5</f>
        <v>2578.96</v>
      </c>
      <c r="AZ34" s="109"/>
      <c r="BA34" s="62"/>
      <c r="BB34" s="62"/>
      <c r="BC34" s="62"/>
      <c r="BD34" s="62">
        <v>0</v>
      </c>
      <c r="BE34" s="110">
        <f>AY34</f>
        <v>2578.96</v>
      </c>
      <c r="BF34" s="109"/>
      <c r="BG34" s="62"/>
      <c r="BH34" s="62"/>
      <c r="BI34" s="110"/>
      <c r="BJ34" s="426"/>
      <c r="BK34" s="427"/>
      <c r="BL34" s="428"/>
      <c r="BM34" s="109"/>
      <c r="BN34" s="62"/>
      <c r="BO34" s="429"/>
      <c r="BP34" s="109"/>
      <c r="BQ34" s="62"/>
      <c r="BR34" s="62"/>
      <c r="BS34" s="430"/>
      <c r="BT34" s="109"/>
      <c r="BU34" s="62"/>
      <c r="BV34" s="62"/>
      <c r="BW34" s="430"/>
      <c r="BX34" s="431"/>
      <c r="BY34" s="432"/>
      <c r="BZ34" s="31"/>
      <c r="CA34" s="109"/>
      <c r="CB34" s="433"/>
      <c r="CC34" s="72"/>
      <c r="CD34" s="434"/>
      <c r="CE34" s="62"/>
      <c r="CF34" s="110"/>
      <c r="CG34" s="406"/>
      <c r="CH34" s="406"/>
      <c r="CI34" s="406"/>
      <c r="CJ34" s="406"/>
      <c r="CK34" s="406"/>
      <c r="CL34" s="406"/>
      <c r="CM34" s="406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6"/>
      <c r="DA34" s="31">
        <f>DA28*428</f>
        <v>3680.7999999999997</v>
      </c>
      <c r="DB34" s="31">
        <f>DB28*428</f>
        <v>3680.7999999999997</v>
      </c>
      <c r="DC34" s="31">
        <f>DC28*480</f>
        <v>4032</v>
      </c>
      <c r="DD34" s="31">
        <v>4032</v>
      </c>
      <c r="DE34" s="31">
        <f>DE28*510</f>
        <v>4284</v>
      </c>
      <c r="DF34" s="31">
        <f>DF28*428</f>
        <v>1840.3999999999999</v>
      </c>
      <c r="DG34" s="31">
        <f t="shared" si="9"/>
        <v>1840.3999999999999</v>
      </c>
      <c r="DI34" s="826"/>
      <c r="DJ34" s="788"/>
    </row>
    <row r="35" spans="1:114" s="783" customFormat="1" ht="24" hidden="1" customHeight="1">
      <c r="A35" s="130"/>
      <c r="B35" s="142" t="s">
        <v>155</v>
      </c>
      <c r="C35" s="829" t="s">
        <v>54</v>
      </c>
      <c r="D35" s="31"/>
      <c r="E35" s="31"/>
      <c r="F35" s="31"/>
      <c r="G35" s="31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55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56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56"/>
      <c r="AX35" s="31"/>
      <c r="AY35" s="31"/>
      <c r="AZ35" s="109"/>
      <c r="BA35" s="62"/>
      <c r="BB35" s="62"/>
      <c r="BC35" s="62"/>
      <c r="BD35" s="62"/>
      <c r="BE35" s="110"/>
      <c r="BF35" s="109">
        <f>AY35</f>
        <v>0</v>
      </c>
      <c r="BG35" s="62"/>
      <c r="BH35" s="62"/>
      <c r="BI35" s="110"/>
      <c r="BJ35" s="426"/>
      <c r="BK35" s="427"/>
      <c r="BL35" s="428"/>
      <c r="BM35" s="109"/>
      <c r="BN35" s="62"/>
      <c r="BO35" s="429"/>
      <c r="BP35" s="109"/>
      <c r="BQ35" s="62"/>
      <c r="BR35" s="62"/>
      <c r="BS35" s="430"/>
      <c r="BT35" s="109"/>
      <c r="BU35" s="62"/>
      <c r="BV35" s="62"/>
      <c r="BW35" s="430"/>
      <c r="BX35" s="431"/>
      <c r="BY35" s="432"/>
      <c r="BZ35" s="31"/>
      <c r="CA35" s="109"/>
      <c r="CB35" s="433"/>
      <c r="CC35" s="72"/>
      <c r="CD35" s="434"/>
      <c r="CE35" s="62"/>
      <c r="CF35" s="110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6"/>
      <c r="CZ35" s="406"/>
      <c r="DA35" s="31"/>
      <c r="DB35" s="31"/>
      <c r="DC35" s="31"/>
      <c r="DD35" s="31"/>
      <c r="DE35" s="31"/>
      <c r="DF35" s="31"/>
      <c r="DG35" s="134"/>
      <c r="DI35" s="826"/>
      <c r="DJ35" s="788"/>
    </row>
    <row r="36" spans="1:114" s="783" customFormat="1" ht="12" hidden="1" customHeight="1">
      <c r="A36" s="130"/>
      <c r="B36" s="131" t="s">
        <v>204</v>
      </c>
      <c r="C36" s="829" t="s">
        <v>54</v>
      </c>
      <c r="D36" s="31"/>
      <c r="E36" s="31"/>
      <c r="F36" s="31"/>
      <c r="G36" s="31"/>
      <c r="H36" s="134"/>
      <c r="I36" s="134"/>
      <c r="J36" s="134"/>
      <c r="K36" s="134"/>
      <c r="L36" s="134">
        <v>0</v>
      </c>
      <c r="M36" s="134">
        <v>89.251999999999995</v>
      </c>
      <c r="N36" s="134"/>
      <c r="O36" s="134"/>
      <c r="P36" s="134"/>
      <c r="Q36" s="134"/>
      <c r="R36" s="134"/>
      <c r="S36" s="134"/>
      <c r="T36" s="134"/>
      <c r="U36" s="134"/>
      <c r="V36" s="134">
        <v>89.251999999999995</v>
      </c>
      <c r="W36" s="134"/>
      <c r="X36" s="134"/>
      <c r="Y36" s="155"/>
      <c r="Z36" s="134">
        <v>0</v>
      </c>
      <c r="AA36" s="134">
        <v>178.03458000000001</v>
      </c>
      <c r="AB36" s="134"/>
      <c r="AC36" s="134"/>
      <c r="AD36" s="134"/>
      <c r="AE36" s="134"/>
      <c r="AF36" s="134"/>
      <c r="AG36" s="134"/>
      <c r="AH36" s="134"/>
      <c r="AI36" s="134"/>
      <c r="AJ36" s="134"/>
      <c r="AK36" s="156"/>
      <c r="AL36" s="134">
        <v>0</v>
      </c>
      <c r="AM36" s="134">
        <v>178.03458000000001</v>
      </c>
      <c r="AN36" s="134"/>
      <c r="AO36" s="134"/>
      <c r="AP36" s="134"/>
      <c r="AQ36" s="134"/>
      <c r="AR36" s="134"/>
      <c r="AS36" s="134"/>
      <c r="AT36" s="134"/>
      <c r="AU36" s="134"/>
      <c r="AV36" s="134"/>
      <c r="AW36" s="156"/>
      <c r="AX36" s="31"/>
      <c r="AY36" s="31"/>
      <c r="AZ36" s="109"/>
      <c r="BA36" s="62"/>
      <c r="BB36" s="62"/>
      <c r="BC36" s="62"/>
      <c r="BD36" s="62"/>
      <c r="BE36" s="110"/>
      <c r="BF36" s="109"/>
      <c r="BG36" s="62">
        <f>AY36</f>
        <v>0</v>
      </c>
      <c r="BH36" s="62"/>
      <c r="BI36" s="110"/>
      <c r="BJ36" s="426"/>
      <c r="BK36" s="427"/>
      <c r="BL36" s="428"/>
      <c r="BM36" s="109">
        <v>178.03458000000001</v>
      </c>
      <c r="BN36" s="62"/>
      <c r="BO36" s="429"/>
      <c r="BP36" s="109"/>
      <c r="BQ36" s="62"/>
      <c r="BR36" s="62"/>
      <c r="BS36" s="430"/>
      <c r="BT36" s="109"/>
      <c r="BU36" s="62"/>
      <c r="BV36" s="62"/>
      <c r="BW36" s="430"/>
      <c r="BX36" s="431"/>
      <c r="BY36" s="432">
        <v>0</v>
      </c>
      <c r="BZ36" s="31">
        <f>M36+BM36+BQ36+BU36</f>
        <v>267.28658000000001</v>
      </c>
      <c r="CA36" s="109">
        <f>BZ36-BY36</f>
        <v>267.28658000000001</v>
      </c>
      <c r="CB36" s="433">
        <v>0</v>
      </c>
      <c r="CC36" s="72">
        <f>BZ36-E36</f>
        <v>267.28658000000001</v>
      </c>
      <c r="CD36" s="434"/>
      <c r="CE36" s="62">
        <v>1597.61</v>
      </c>
      <c r="CF36" s="110"/>
      <c r="CG36" s="406"/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31"/>
      <c r="DB36" s="31"/>
      <c r="DC36" s="31"/>
      <c r="DD36" s="31"/>
      <c r="DE36" s="31"/>
      <c r="DF36" s="31"/>
      <c r="DG36" s="134"/>
      <c r="DI36" s="826"/>
      <c r="DJ36" s="788"/>
    </row>
    <row r="37" spans="1:114" s="783" customFormat="1" ht="12" hidden="1" customHeight="1">
      <c r="A37" s="130"/>
      <c r="B37" s="131" t="s">
        <v>91</v>
      </c>
      <c r="C37" s="829" t="s">
        <v>54</v>
      </c>
      <c r="D37" s="31"/>
      <c r="E37" s="31"/>
      <c r="F37" s="31"/>
      <c r="G37" s="31"/>
      <c r="H37" s="134"/>
      <c r="I37" s="134"/>
      <c r="J37" s="134"/>
      <c r="K37" s="134"/>
      <c r="L37" s="134"/>
      <c r="M37" s="134">
        <v>28.001899999999999</v>
      </c>
      <c r="N37" s="134"/>
      <c r="O37" s="134"/>
      <c r="P37" s="134"/>
      <c r="Q37" s="134"/>
      <c r="R37" s="134"/>
      <c r="S37" s="134"/>
      <c r="T37" s="134"/>
      <c r="U37" s="134"/>
      <c r="V37" s="134">
        <v>28</v>
      </c>
      <c r="W37" s="134"/>
      <c r="X37" s="134"/>
      <c r="Y37" s="155"/>
      <c r="Z37" s="134"/>
      <c r="AA37" s="134">
        <v>28</v>
      </c>
      <c r="AB37" s="134"/>
      <c r="AC37" s="134"/>
      <c r="AD37" s="134"/>
      <c r="AE37" s="134"/>
      <c r="AF37" s="134"/>
      <c r="AG37" s="134"/>
      <c r="AH37" s="134"/>
      <c r="AI37" s="134"/>
      <c r="AJ37" s="134"/>
      <c r="AK37" s="156"/>
      <c r="AL37" s="134"/>
      <c r="AM37" s="134">
        <v>28</v>
      </c>
      <c r="AN37" s="134"/>
      <c r="AO37" s="134"/>
      <c r="AP37" s="134"/>
      <c r="AQ37" s="134"/>
      <c r="AR37" s="134"/>
      <c r="AS37" s="134"/>
      <c r="AT37" s="134"/>
      <c r="AU37" s="134"/>
      <c r="AV37" s="134"/>
      <c r="AW37" s="156"/>
      <c r="AX37" s="31"/>
      <c r="AY37" s="31"/>
      <c r="AZ37" s="109"/>
      <c r="BA37" s="62"/>
      <c r="BB37" s="62"/>
      <c r="BC37" s="62"/>
      <c r="BD37" s="62"/>
      <c r="BE37" s="110"/>
      <c r="BF37" s="109"/>
      <c r="BG37" s="62">
        <f>AY37</f>
        <v>0</v>
      </c>
      <c r="BH37" s="62"/>
      <c r="BI37" s="110"/>
      <c r="BJ37" s="426"/>
      <c r="BK37" s="427"/>
      <c r="BL37" s="428"/>
      <c r="BM37" s="109">
        <v>28.001899999999999</v>
      </c>
      <c r="BN37" s="62"/>
      <c r="BO37" s="429"/>
      <c r="BP37" s="109"/>
      <c r="BQ37" s="62"/>
      <c r="BR37" s="62"/>
      <c r="BS37" s="430"/>
      <c r="BT37" s="109"/>
      <c r="BU37" s="62"/>
      <c r="BV37" s="62"/>
      <c r="BW37" s="430"/>
      <c r="BX37" s="431"/>
      <c r="BY37" s="432">
        <v>0</v>
      </c>
      <c r="BZ37" s="31">
        <f>M37+BM37+BQ37+BU37</f>
        <v>56.003799999999998</v>
      </c>
      <c r="CA37" s="109">
        <f>BZ37-BY37</f>
        <v>56.003799999999998</v>
      </c>
      <c r="CB37" s="433">
        <v>0</v>
      </c>
      <c r="CC37" s="72">
        <f>BZ37-E37</f>
        <v>56.003799999999998</v>
      </c>
      <c r="CD37" s="434"/>
      <c r="CE37" s="62">
        <v>429.71</v>
      </c>
      <c r="CF37" s="110"/>
      <c r="CG37" s="406"/>
      <c r="CH37" s="406"/>
      <c r="CI37" s="406"/>
      <c r="CJ37" s="406"/>
      <c r="CK37" s="406"/>
      <c r="CL37" s="406" t="s">
        <v>80</v>
      </c>
      <c r="CM37" s="406"/>
      <c r="CN37" s="406"/>
      <c r="CO37" s="406"/>
      <c r="CP37" s="406"/>
      <c r="CQ37" s="406"/>
      <c r="CR37" s="406"/>
      <c r="CS37" s="406"/>
      <c r="CT37" s="406"/>
      <c r="CU37" s="406"/>
      <c r="CV37" s="406"/>
      <c r="CW37" s="406"/>
      <c r="CX37" s="406"/>
      <c r="CY37" s="406"/>
      <c r="CZ37" s="406"/>
      <c r="DA37" s="31"/>
      <c r="DB37" s="31"/>
      <c r="DC37" s="31"/>
      <c r="DD37" s="31"/>
      <c r="DE37" s="31"/>
      <c r="DF37" s="31"/>
      <c r="DG37" s="134"/>
      <c r="DI37" s="826"/>
      <c r="DJ37" s="788"/>
    </row>
    <row r="38" spans="1:114" s="783" customFormat="1" ht="12" hidden="1" customHeight="1">
      <c r="A38" s="130"/>
      <c r="B38" s="131" t="s">
        <v>137</v>
      </c>
      <c r="C38" s="829" t="s">
        <v>54</v>
      </c>
      <c r="D38" s="31"/>
      <c r="E38" s="31"/>
      <c r="F38" s="31"/>
      <c r="G38" s="31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55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56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56"/>
      <c r="AX38" s="31"/>
      <c r="AY38" s="31"/>
      <c r="AZ38" s="109"/>
      <c r="BA38" s="62"/>
      <c r="BB38" s="62"/>
      <c r="BC38" s="62"/>
      <c r="BD38" s="62"/>
      <c r="BE38" s="110"/>
      <c r="BF38" s="109"/>
      <c r="BG38" s="62"/>
      <c r="BH38" s="62">
        <f>AY38</f>
        <v>0</v>
      </c>
      <c r="BI38" s="110"/>
      <c r="BJ38" s="426"/>
      <c r="BK38" s="427"/>
      <c r="BL38" s="428"/>
      <c r="BM38" s="109"/>
      <c r="BN38" s="62"/>
      <c r="BO38" s="429"/>
      <c r="BP38" s="109"/>
      <c r="BQ38" s="62"/>
      <c r="BR38" s="62"/>
      <c r="BS38" s="430"/>
      <c r="BT38" s="109"/>
      <c r="BU38" s="62"/>
      <c r="BV38" s="62"/>
      <c r="BW38" s="430"/>
      <c r="BX38" s="431"/>
      <c r="BY38" s="432"/>
      <c r="BZ38" s="31"/>
      <c r="CA38" s="109"/>
      <c r="CB38" s="433"/>
      <c r="CC38" s="72"/>
      <c r="CD38" s="434"/>
      <c r="CE38" s="62"/>
      <c r="CF38" s="110"/>
      <c r="CG38" s="406"/>
      <c r="CH38" s="406"/>
      <c r="CI38" s="406"/>
      <c r="CJ38" s="406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31"/>
      <c r="DB38" s="31"/>
      <c r="DC38" s="31"/>
      <c r="DD38" s="31"/>
      <c r="DE38" s="31"/>
      <c r="DF38" s="31"/>
      <c r="DG38" s="134"/>
      <c r="DI38" s="826"/>
      <c r="DJ38" s="788"/>
    </row>
    <row r="39" spans="1:114" s="783" customFormat="1" ht="12" hidden="1" customHeight="1">
      <c r="A39" s="130"/>
      <c r="B39" s="131" t="s">
        <v>110</v>
      </c>
      <c r="C39" s="829" t="s">
        <v>54</v>
      </c>
      <c r="D39" s="31"/>
      <c r="E39" s="31"/>
      <c r="F39" s="31"/>
      <c r="G39" s="31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55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56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56"/>
      <c r="AX39" s="31"/>
      <c r="AY39" s="31"/>
      <c r="AZ39" s="109"/>
      <c r="BA39" s="62"/>
      <c r="BB39" s="62"/>
      <c r="BC39" s="62"/>
      <c r="BD39" s="62"/>
      <c r="BE39" s="110"/>
      <c r="BF39" s="109"/>
      <c r="BG39" s="62"/>
      <c r="BH39" s="62">
        <f>AY39</f>
        <v>0</v>
      </c>
      <c r="BI39" s="110"/>
      <c r="BJ39" s="426"/>
      <c r="BK39" s="427"/>
      <c r="BL39" s="428"/>
      <c r="BM39" s="109"/>
      <c r="BN39" s="62"/>
      <c r="BO39" s="429"/>
      <c r="BP39" s="109"/>
      <c r="BQ39" s="62"/>
      <c r="BR39" s="62"/>
      <c r="BS39" s="430"/>
      <c r="BT39" s="109"/>
      <c r="BU39" s="62"/>
      <c r="BV39" s="62"/>
      <c r="BW39" s="430"/>
      <c r="BX39" s="431"/>
      <c r="BY39" s="432"/>
      <c r="BZ39" s="31"/>
      <c r="CA39" s="109"/>
      <c r="CB39" s="433"/>
      <c r="CC39" s="72"/>
      <c r="CD39" s="434"/>
      <c r="CE39" s="62"/>
      <c r="CF39" s="110"/>
      <c r="CG39" s="406"/>
      <c r="CH39" s="406"/>
      <c r="CI39" s="406"/>
      <c r="CJ39" s="406"/>
      <c r="CK39" s="406"/>
      <c r="CL39" s="406"/>
      <c r="CM39" s="406"/>
      <c r="CN39" s="406"/>
      <c r="CO39" s="406"/>
      <c r="CP39" s="406"/>
      <c r="CQ39" s="406"/>
      <c r="CR39" s="406"/>
      <c r="CS39" s="406"/>
      <c r="CT39" s="406"/>
      <c r="CU39" s="406"/>
      <c r="CV39" s="406"/>
      <c r="CW39" s="406"/>
      <c r="CX39" s="406"/>
      <c r="CY39" s="406"/>
      <c r="CZ39" s="406"/>
      <c r="DA39" s="31"/>
      <c r="DB39" s="31"/>
      <c r="DC39" s="31"/>
      <c r="DD39" s="31"/>
      <c r="DE39" s="31"/>
      <c r="DF39" s="31"/>
      <c r="DG39" s="134"/>
      <c r="DI39" s="826"/>
      <c r="DJ39" s="788"/>
    </row>
    <row r="40" spans="1:114" s="783" customFormat="1" ht="12" hidden="1" customHeight="1">
      <c r="A40" s="141"/>
      <c r="B40" s="142" t="s">
        <v>109</v>
      </c>
      <c r="C40" s="831" t="s">
        <v>54</v>
      </c>
      <c r="D40" s="78"/>
      <c r="E40" s="78"/>
      <c r="F40" s="78"/>
      <c r="G40" s="78"/>
      <c r="H40" s="145"/>
      <c r="I40" s="145"/>
      <c r="J40" s="145"/>
      <c r="K40" s="145"/>
      <c r="L40" s="145"/>
      <c r="M40" s="145">
        <f>4.702+165.386</f>
        <v>170.08799999999999</v>
      </c>
      <c r="N40" s="145"/>
      <c r="O40" s="145"/>
      <c r="P40" s="145"/>
      <c r="Q40" s="145"/>
      <c r="R40" s="145"/>
      <c r="S40" s="145"/>
      <c r="T40" s="145"/>
      <c r="U40" s="145"/>
      <c r="V40" s="145"/>
      <c r="W40" s="145">
        <v>170.09</v>
      </c>
      <c r="X40" s="145"/>
      <c r="Y40" s="157"/>
      <c r="Z40" s="145"/>
      <c r="AA40" s="145">
        <f>4.9371+188.86305</f>
        <v>193.80014999999997</v>
      </c>
      <c r="AB40" s="145"/>
      <c r="AC40" s="145"/>
      <c r="AD40" s="145"/>
      <c r="AE40" s="145"/>
      <c r="AF40" s="145"/>
      <c r="AG40" s="145"/>
      <c r="AH40" s="145"/>
      <c r="AI40" s="145"/>
      <c r="AJ40" s="145"/>
      <c r="AK40" s="158"/>
      <c r="AL40" s="145"/>
      <c r="AM40" s="145">
        <f>4.9371+188.86305</f>
        <v>193.80014999999997</v>
      </c>
      <c r="AN40" s="145"/>
      <c r="AO40" s="145"/>
      <c r="AP40" s="145"/>
      <c r="AQ40" s="145"/>
      <c r="AR40" s="145"/>
      <c r="AS40" s="145"/>
      <c r="AT40" s="145"/>
      <c r="AU40" s="145"/>
      <c r="AV40" s="145"/>
      <c r="AW40" s="158"/>
      <c r="AX40" s="144"/>
      <c r="AY40" s="144"/>
      <c r="AZ40" s="149"/>
      <c r="BA40" s="150"/>
      <c r="BB40" s="150"/>
      <c r="BC40" s="150"/>
      <c r="BD40" s="150"/>
      <c r="BE40" s="151"/>
      <c r="BF40" s="149"/>
      <c r="BG40" s="150"/>
      <c r="BH40" s="150">
        <f>AY40</f>
        <v>0</v>
      </c>
      <c r="BI40" s="151"/>
      <c r="BJ40" s="435"/>
      <c r="BK40" s="436"/>
      <c r="BL40" s="437"/>
      <c r="BM40" s="149">
        <f>4.9371+188.86305</f>
        <v>193.80014999999997</v>
      </c>
      <c r="BN40" s="150"/>
      <c r="BO40" s="438"/>
      <c r="BP40" s="149"/>
      <c r="BQ40" s="150"/>
      <c r="BR40" s="150"/>
      <c r="BS40" s="439"/>
      <c r="BT40" s="149"/>
      <c r="BU40" s="150"/>
      <c r="BV40" s="150"/>
      <c r="BW40" s="439"/>
      <c r="BX40" s="440"/>
      <c r="BY40" s="441">
        <v>0</v>
      </c>
      <c r="BZ40" s="144">
        <f>M40+BM40+BQ40+BU40</f>
        <v>363.88815</v>
      </c>
      <c r="CA40" s="149">
        <f>BZ40-BY40</f>
        <v>363.88815</v>
      </c>
      <c r="CB40" s="442">
        <v>0</v>
      </c>
      <c r="CC40" s="246">
        <f>BZ40-E40</f>
        <v>363.88815</v>
      </c>
      <c r="CD40" s="443"/>
      <c r="CE40" s="150"/>
      <c r="CF40" s="151">
        <v>2376.7600000000002</v>
      </c>
      <c r="CG40" s="406"/>
      <c r="CH40" s="406"/>
      <c r="CI40" s="406"/>
      <c r="CJ40" s="406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144"/>
      <c r="DB40" s="144"/>
      <c r="DC40" s="78"/>
      <c r="DD40" s="78"/>
      <c r="DE40" s="78"/>
      <c r="DF40" s="78"/>
      <c r="DG40" s="134"/>
      <c r="DI40" s="826"/>
      <c r="DJ40" s="788"/>
    </row>
    <row r="41" spans="1:114" s="783" customFormat="1" ht="12" hidden="1" customHeight="1">
      <c r="A41" s="130"/>
      <c r="B41" s="131" t="s">
        <v>338</v>
      </c>
      <c r="C41" s="829" t="s">
        <v>54</v>
      </c>
      <c r="D41" s="31"/>
      <c r="E41" s="31"/>
      <c r="F41" s="31"/>
      <c r="G41" s="31"/>
      <c r="H41" s="134"/>
      <c r="I41" s="134"/>
      <c r="J41" s="134"/>
      <c r="K41" s="134"/>
      <c r="L41" s="134">
        <v>0</v>
      </c>
      <c r="M41" s="134">
        <v>75.939980000000006</v>
      </c>
      <c r="N41" s="134"/>
      <c r="O41" s="134">
        <v>25.313326</v>
      </c>
      <c r="P41" s="134"/>
      <c r="Q41" s="134"/>
      <c r="R41" s="134"/>
      <c r="S41" s="134">
        <v>16.875551000000002</v>
      </c>
      <c r="T41" s="134"/>
      <c r="U41" s="134">
        <v>33.751103000000001</v>
      </c>
      <c r="V41" s="134"/>
      <c r="W41" s="134"/>
      <c r="X41" s="134"/>
      <c r="Y41" s="155"/>
      <c r="Z41" s="134">
        <v>0</v>
      </c>
      <c r="AA41" s="134">
        <v>41.609270000000002</v>
      </c>
      <c r="AB41" s="134"/>
      <c r="AC41" s="134"/>
      <c r="AD41" s="134"/>
      <c r="AE41" s="134"/>
      <c r="AF41" s="134"/>
      <c r="AG41" s="134"/>
      <c r="AH41" s="134"/>
      <c r="AI41" s="134"/>
      <c r="AJ41" s="134"/>
      <c r="AK41" s="156"/>
      <c r="AL41" s="134">
        <v>0</v>
      </c>
      <c r="AM41" s="134">
        <v>41.609270000000002</v>
      </c>
      <c r="AN41" s="134"/>
      <c r="AO41" s="134"/>
      <c r="AP41" s="134"/>
      <c r="AQ41" s="134"/>
      <c r="AR41" s="134"/>
      <c r="AS41" s="134"/>
      <c r="AT41" s="134"/>
      <c r="AU41" s="134"/>
      <c r="AV41" s="134"/>
      <c r="AW41" s="156"/>
      <c r="AX41" s="31"/>
      <c r="AY41" s="31"/>
      <c r="AZ41" s="109"/>
      <c r="BA41" s="62"/>
      <c r="BB41" s="62"/>
      <c r="BC41" s="62"/>
      <c r="BD41" s="62"/>
      <c r="BE41" s="110"/>
      <c r="BF41" s="109"/>
      <c r="BG41" s="62"/>
      <c r="BH41" s="62"/>
      <c r="BI41" s="110">
        <f>AY41</f>
        <v>0</v>
      </c>
      <c r="BJ41" s="426"/>
      <c r="BK41" s="427"/>
      <c r="BL41" s="428"/>
      <c r="BM41" s="109">
        <v>41.609270000000002</v>
      </c>
      <c r="BN41" s="62"/>
      <c r="BO41" s="429"/>
      <c r="BP41" s="109"/>
      <c r="BQ41" s="62"/>
      <c r="BR41" s="62"/>
      <c r="BS41" s="430"/>
      <c r="BT41" s="109"/>
      <c r="BU41" s="62"/>
      <c r="BV41" s="62"/>
      <c r="BW41" s="430"/>
      <c r="BX41" s="431"/>
      <c r="BY41" s="432">
        <v>0</v>
      </c>
      <c r="BZ41" s="31">
        <v>444.44</v>
      </c>
      <c r="CA41" s="109">
        <f>BZ41-BY41</f>
        <v>444.44</v>
      </c>
      <c r="CB41" s="433">
        <v>0</v>
      </c>
      <c r="CC41" s="72">
        <f>BZ41-E41</f>
        <v>444.44</v>
      </c>
      <c r="CD41" s="434">
        <f>BZ41-CE41</f>
        <v>388.47</v>
      </c>
      <c r="CE41" s="62">
        <v>55.97</v>
      </c>
      <c r="CF41" s="110"/>
      <c r="CG41" s="406"/>
      <c r="CH41" s="406"/>
      <c r="CI41" s="406"/>
      <c r="CJ41" s="406"/>
      <c r="CK41" s="406"/>
      <c r="CL41" s="406"/>
      <c r="CM41" s="406"/>
      <c r="CN41" s="406"/>
      <c r="CO41" s="406"/>
      <c r="CP41" s="406"/>
      <c r="CQ41" s="406"/>
      <c r="CR41" s="406"/>
      <c r="CS41" s="406"/>
      <c r="CT41" s="406"/>
      <c r="CU41" s="406"/>
      <c r="CV41" s="406"/>
      <c r="CW41" s="406"/>
      <c r="CX41" s="406"/>
      <c r="CY41" s="406"/>
      <c r="CZ41" s="406"/>
      <c r="DA41" s="31"/>
      <c r="DB41" s="31"/>
      <c r="DC41" s="31"/>
      <c r="DD41" s="31"/>
      <c r="DE41" s="31"/>
      <c r="DF41" s="31"/>
      <c r="DG41" s="134"/>
      <c r="DI41" s="826"/>
      <c r="DJ41" s="788"/>
    </row>
    <row r="42" spans="1:114" s="783" customFormat="1" ht="12" hidden="1" customHeight="1">
      <c r="A42" s="152">
        <v>3</v>
      </c>
      <c r="B42" s="153" t="s">
        <v>106</v>
      </c>
      <c r="C42" s="824" t="s">
        <v>54</v>
      </c>
      <c r="D42" s="117">
        <f>SUM(D43:D52)</f>
        <v>42996.6</v>
      </c>
      <c r="E42" s="117">
        <f>SUM(E43:E52)</f>
        <v>42996.6</v>
      </c>
      <c r="F42" s="117">
        <f>SUM(F43:F52)</f>
        <v>42996.6</v>
      </c>
      <c r="G42" s="117">
        <f>SUM(G43:G52)</f>
        <v>42996.6</v>
      </c>
      <c r="H42" s="117"/>
      <c r="I42" s="117"/>
      <c r="J42" s="117"/>
      <c r="K42" s="117"/>
      <c r="L42" s="117"/>
      <c r="M42" s="117">
        <f>SUM(M43:M52)</f>
        <v>1441.03098</v>
      </c>
      <c r="N42" s="117"/>
      <c r="O42" s="117">
        <f>SUM(O43:O52)</f>
        <v>927.74</v>
      </c>
      <c r="P42" s="117"/>
      <c r="Q42" s="117"/>
      <c r="R42" s="117"/>
      <c r="S42" s="117">
        <f>SUM(S43:S52)</f>
        <v>107.211</v>
      </c>
      <c r="T42" s="117"/>
      <c r="U42" s="117">
        <f>SUM(U43:U52)</f>
        <v>316.55</v>
      </c>
      <c r="V42" s="117">
        <f>SUM(V43:V52)</f>
        <v>89.53</v>
      </c>
      <c r="W42" s="117">
        <f>SUM(W43:W52)</f>
        <v>0</v>
      </c>
      <c r="X42" s="117"/>
      <c r="Y42" s="119"/>
      <c r="Z42" s="117"/>
      <c r="AA42" s="117">
        <f>SUM(AA43:AA52)</f>
        <v>0</v>
      </c>
      <c r="AB42" s="117"/>
      <c r="AC42" s="117"/>
      <c r="AD42" s="117"/>
      <c r="AE42" s="117"/>
      <c r="AF42" s="117"/>
      <c r="AG42" s="117"/>
      <c r="AH42" s="117"/>
      <c r="AI42" s="117"/>
      <c r="AJ42" s="117"/>
      <c r="AK42" s="120"/>
      <c r="AL42" s="117"/>
      <c r="AM42" s="117">
        <f>SUM(AM43:AM52)</f>
        <v>0</v>
      </c>
      <c r="AN42" s="117"/>
      <c r="AO42" s="117"/>
      <c r="AP42" s="117"/>
      <c r="AQ42" s="117"/>
      <c r="AR42" s="117"/>
      <c r="AS42" s="117"/>
      <c r="AT42" s="117"/>
      <c r="AU42" s="117"/>
      <c r="AV42" s="117"/>
      <c r="AW42" s="120"/>
      <c r="AX42" s="117">
        <f>SUM(AX43:AX52)</f>
        <v>21498.3</v>
      </c>
      <c r="AY42" s="117">
        <f>SUM(AY43:AY52)</f>
        <v>33015.550000000003</v>
      </c>
      <c r="AZ42" s="121"/>
      <c r="BA42" s="122">
        <f t="shared" ref="BA42:BI42" si="10">SUM(BA43:BA52)</f>
        <v>21245.19</v>
      </c>
      <c r="BB42" s="122">
        <f t="shared" si="10"/>
        <v>3192.5</v>
      </c>
      <c r="BC42" s="122">
        <f t="shared" si="10"/>
        <v>11770.36</v>
      </c>
      <c r="BD42" s="122">
        <f t="shared" si="10"/>
        <v>0</v>
      </c>
      <c r="BE42" s="123">
        <f t="shared" si="10"/>
        <v>0</v>
      </c>
      <c r="BF42" s="121">
        <f t="shared" si="10"/>
        <v>0</v>
      </c>
      <c r="BG42" s="122">
        <f t="shared" si="10"/>
        <v>0</v>
      </c>
      <c r="BH42" s="122">
        <f t="shared" si="10"/>
        <v>0</v>
      </c>
      <c r="BI42" s="123">
        <f t="shared" si="10"/>
        <v>0</v>
      </c>
      <c r="BJ42" s="288">
        <f>BA42-AZ42</f>
        <v>21245.19</v>
      </c>
      <c r="BK42" s="407"/>
      <c r="BL42" s="408"/>
      <c r="BM42" s="121">
        <f>SUM(BM43:BM52)</f>
        <v>0</v>
      </c>
      <c r="BN42" s="122"/>
      <c r="BO42" s="409"/>
      <c r="BP42" s="121"/>
      <c r="BQ42" s="122"/>
      <c r="BR42" s="122"/>
      <c r="BS42" s="410"/>
      <c r="BT42" s="121"/>
      <c r="BU42" s="122"/>
      <c r="BV42" s="122"/>
      <c r="BW42" s="410"/>
      <c r="BX42" s="411">
        <f>BX43+BX44</f>
        <v>23075.739999999998</v>
      </c>
      <c r="BY42" s="412">
        <f>SUM(BY43:BY52)</f>
        <v>0</v>
      </c>
      <c r="BZ42" s="117">
        <f>SUM(BZ43:BZ52)</f>
        <v>1441.03098</v>
      </c>
      <c r="CA42" s="121">
        <f>BZ42-BY42</f>
        <v>1441.03098</v>
      </c>
      <c r="CB42" s="413" t="e">
        <f>BZ42/BY42</f>
        <v>#DIV/0!</v>
      </c>
      <c r="CC42" s="414">
        <f>BZ42-E42</f>
        <v>-41555.569019999995</v>
      </c>
      <c r="CD42" s="415">
        <f>SUM(CD43:CD52)</f>
        <v>28379.71</v>
      </c>
      <c r="CE42" s="122">
        <f>SUM(CE43:CE52)</f>
        <v>1597.61</v>
      </c>
      <c r="CF42" s="123">
        <f>SUM(CF43:CF52)</f>
        <v>0</v>
      </c>
      <c r="CG42" s="416"/>
      <c r="CH42" s="416"/>
      <c r="CI42" s="416"/>
      <c r="CJ42" s="416"/>
      <c r="CK42" s="416"/>
      <c r="CL42" s="416"/>
      <c r="CM42" s="416"/>
      <c r="CN42" s="416"/>
      <c r="CO42" s="416"/>
      <c r="CP42" s="416"/>
      <c r="CQ42" s="416"/>
      <c r="CR42" s="416"/>
      <c r="CS42" s="416"/>
      <c r="CT42" s="416"/>
      <c r="CU42" s="416"/>
      <c r="CV42" s="416"/>
      <c r="CW42" s="416"/>
      <c r="CX42" s="416"/>
      <c r="CY42" s="416"/>
      <c r="CZ42" s="416"/>
      <c r="DA42" s="117">
        <f t="shared" ref="DA42:DF42" si="11">SUM(DA43:DA52)</f>
        <v>42643.78</v>
      </c>
      <c r="DB42" s="117">
        <f t="shared" si="11"/>
        <v>45542.131000000001</v>
      </c>
      <c r="DC42" s="117">
        <f t="shared" si="11"/>
        <v>42996.6</v>
      </c>
      <c r="DD42" s="117">
        <f t="shared" si="11"/>
        <v>42996.6</v>
      </c>
      <c r="DE42" s="117">
        <f t="shared" si="11"/>
        <v>42996.6</v>
      </c>
      <c r="DF42" s="117">
        <f t="shared" si="11"/>
        <v>42996.6</v>
      </c>
      <c r="DG42" s="117"/>
      <c r="DI42" s="826"/>
      <c r="DJ42" s="788"/>
    </row>
    <row r="43" spans="1:114" s="783" customFormat="1" ht="12" hidden="1" customHeight="1">
      <c r="A43" s="124"/>
      <c r="B43" s="125" t="s">
        <v>87</v>
      </c>
      <c r="C43" s="827" t="s">
        <v>54</v>
      </c>
      <c r="D43" s="78">
        <v>28671.39</v>
      </c>
      <c r="E43" s="78">
        <v>28671.39</v>
      </c>
      <c r="F43" s="78">
        <v>28671.39</v>
      </c>
      <c r="G43" s="78">
        <v>28671.39</v>
      </c>
      <c r="H43" s="3"/>
      <c r="I43" s="3"/>
      <c r="J43" s="3"/>
      <c r="K43" s="3"/>
      <c r="L43" s="3"/>
      <c r="M43" s="3">
        <v>927.74381000000005</v>
      </c>
      <c r="N43" s="3"/>
      <c r="O43" s="3">
        <v>927.74</v>
      </c>
      <c r="P43" s="3"/>
      <c r="Q43" s="3"/>
      <c r="R43" s="3"/>
      <c r="S43" s="3"/>
      <c r="T43" s="3"/>
      <c r="U43" s="3"/>
      <c r="V43" s="3"/>
      <c r="W43" s="3"/>
      <c r="X43" s="3"/>
      <c r="Y43" s="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6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6"/>
      <c r="AX43" s="33">
        <f>G43/2</f>
        <v>14335.695</v>
      </c>
      <c r="AY43" s="33">
        <v>21245.19</v>
      </c>
      <c r="AZ43" s="102"/>
      <c r="BA43" s="103">
        <f>AY43</f>
        <v>21245.19</v>
      </c>
      <c r="BB43" s="103"/>
      <c r="BC43" s="103"/>
      <c r="BD43" s="103"/>
      <c r="BE43" s="104"/>
      <c r="BF43" s="102"/>
      <c r="BG43" s="103"/>
      <c r="BH43" s="103"/>
      <c r="BI43" s="104"/>
      <c r="BJ43" s="417">
        <f>BA43-AZ43</f>
        <v>21245.19</v>
      </c>
      <c r="BK43" s="418" t="e">
        <f>BA43/AZ43</f>
        <v>#DIV/0!</v>
      </c>
      <c r="BL43" s="419"/>
      <c r="BM43" s="102"/>
      <c r="BN43" s="103"/>
      <c r="BO43" s="420"/>
      <c r="BP43" s="102"/>
      <c r="BQ43" s="103"/>
      <c r="BR43" s="103"/>
      <c r="BS43" s="421"/>
      <c r="BT43" s="102"/>
      <c r="BU43" s="103"/>
      <c r="BV43" s="103"/>
      <c r="BW43" s="421"/>
      <c r="BX43" s="422">
        <v>14729.36</v>
      </c>
      <c r="BY43" s="423">
        <f>L43+BL43+BP43+BT43</f>
        <v>0</v>
      </c>
      <c r="BZ43" s="33">
        <f>M43+BM43+BQ43+BU43</f>
        <v>927.74381000000005</v>
      </c>
      <c r="CA43" s="102">
        <f>BZ43-BY43</f>
        <v>927.74381000000005</v>
      </c>
      <c r="CB43" s="424" t="e">
        <f>BZ43/BY43</f>
        <v>#DIV/0!</v>
      </c>
      <c r="CC43" s="93">
        <f>BZ43-E43</f>
        <v>-27743.646189999999</v>
      </c>
      <c r="CD43" s="425">
        <v>18016.63</v>
      </c>
      <c r="CE43" s="103"/>
      <c r="CF43" s="104"/>
      <c r="CG43" s="406"/>
      <c r="CH43" s="406"/>
      <c r="CI43" s="406"/>
      <c r="CJ43" s="406"/>
      <c r="CK43" s="406"/>
      <c r="CL43" s="406"/>
      <c r="CM43" s="406"/>
      <c r="CN43" s="406"/>
      <c r="CO43" s="406"/>
      <c r="CP43" s="406"/>
      <c r="CQ43" s="406"/>
      <c r="CR43" s="406"/>
      <c r="CS43" s="406"/>
      <c r="CT43" s="406"/>
      <c r="CU43" s="406"/>
      <c r="CV43" s="406"/>
      <c r="CW43" s="406"/>
      <c r="CX43" s="406"/>
      <c r="CY43" s="406"/>
      <c r="CZ43" s="406"/>
      <c r="DA43" s="33">
        <f>DA32*90/100</f>
        <v>25692.84</v>
      </c>
      <c r="DB43" s="33">
        <f>DB32*90/100</f>
        <v>27811.439999999999</v>
      </c>
      <c r="DC43" s="78">
        <v>28671.39</v>
      </c>
      <c r="DD43" s="78">
        <v>28671.39</v>
      </c>
      <c r="DE43" s="78">
        <v>28671.39</v>
      </c>
      <c r="DF43" s="78">
        <v>28671.39</v>
      </c>
      <c r="DG43" s="134"/>
      <c r="DI43" s="826"/>
      <c r="DJ43" s="788"/>
    </row>
    <row r="44" spans="1:114" s="783" customFormat="1" ht="12" hidden="1" customHeight="1">
      <c r="A44" s="130"/>
      <c r="B44" s="131" t="s">
        <v>88</v>
      </c>
      <c r="C44" s="829" t="s">
        <v>54</v>
      </c>
      <c r="D44" s="31">
        <v>14325.21</v>
      </c>
      <c r="E44" s="31">
        <v>14325.21</v>
      </c>
      <c r="F44" s="31">
        <v>14325.21</v>
      </c>
      <c r="G44" s="31">
        <v>14325.21</v>
      </c>
      <c r="H44" s="134"/>
      <c r="I44" s="134"/>
      <c r="J44" s="134"/>
      <c r="K44" s="134"/>
      <c r="L44" s="134"/>
      <c r="M44" s="134">
        <v>423.75716999999997</v>
      </c>
      <c r="N44" s="134"/>
      <c r="O44" s="134"/>
      <c r="P44" s="134"/>
      <c r="Q44" s="134"/>
      <c r="R44" s="134"/>
      <c r="S44" s="134">
        <v>107.211</v>
      </c>
      <c r="T44" s="134"/>
      <c r="U44" s="134">
        <v>316.55</v>
      </c>
      <c r="V44" s="134"/>
      <c r="W44" s="134"/>
      <c r="X44" s="134"/>
      <c r="Y44" s="155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56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56"/>
      <c r="AX44" s="31">
        <f>G44/2</f>
        <v>7162.6049999999996</v>
      </c>
      <c r="AY44" s="31">
        <v>11770.36</v>
      </c>
      <c r="AZ44" s="109"/>
      <c r="BA44" s="62"/>
      <c r="BB44" s="62">
        <v>3192.5</v>
      </c>
      <c r="BC44" s="62">
        <f>AY44</f>
        <v>11770.36</v>
      </c>
      <c r="BD44" s="62"/>
      <c r="BE44" s="110"/>
      <c r="BF44" s="109"/>
      <c r="BG44" s="62"/>
      <c r="BH44" s="62"/>
      <c r="BI44" s="110"/>
      <c r="BJ44" s="426">
        <f>BC44-BB44</f>
        <v>8577.86</v>
      </c>
      <c r="BK44" s="427">
        <f>BC44/BB44</f>
        <v>3.6868786217697731</v>
      </c>
      <c r="BL44" s="428"/>
      <c r="BM44" s="109"/>
      <c r="BN44" s="62"/>
      <c r="BO44" s="429"/>
      <c r="BP44" s="109"/>
      <c r="BQ44" s="62"/>
      <c r="BR44" s="62"/>
      <c r="BS44" s="430"/>
      <c r="BT44" s="109"/>
      <c r="BU44" s="62"/>
      <c r="BV44" s="62"/>
      <c r="BW44" s="430"/>
      <c r="BX44" s="431">
        <v>8346.3799999999992</v>
      </c>
      <c r="BY44" s="432">
        <f>L44+BL44+BP44+BT44</f>
        <v>0</v>
      </c>
      <c r="BZ44" s="31">
        <f>M44+BM44+BQ44+BU44</f>
        <v>423.75716999999997</v>
      </c>
      <c r="CA44" s="109">
        <f>BZ44-BY44</f>
        <v>423.75716999999997</v>
      </c>
      <c r="CB44" s="433" t="e">
        <f>BZ44/BY44</f>
        <v>#DIV/0!</v>
      </c>
      <c r="CC44" s="72">
        <f>BZ44-E44</f>
        <v>-13901.452829999998</v>
      </c>
      <c r="CD44" s="434">
        <v>10363.08</v>
      </c>
      <c r="CE44" s="62"/>
      <c r="CF44" s="110"/>
      <c r="CG44" s="406"/>
      <c r="CH44" s="406"/>
      <c r="CI44" s="406"/>
      <c r="CJ44" s="406"/>
      <c r="CK44" s="406"/>
      <c r="CL44" s="406"/>
      <c r="CM44" s="406"/>
      <c r="CN44" s="406"/>
      <c r="CO44" s="406"/>
      <c r="CP44" s="406"/>
      <c r="CQ44" s="406"/>
      <c r="CR44" s="406"/>
      <c r="CS44" s="406"/>
      <c r="CT44" s="406"/>
      <c r="CU44" s="406"/>
      <c r="CV44" s="406"/>
      <c r="CW44" s="406"/>
      <c r="CX44" s="406"/>
      <c r="CY44" s="406"/>
      <c r="CZ44" s="406"/>
      <c r="DA44" s="31">
        <f>DA33*90/100</f>
        <v>13270.14</v>
      </c>
      <c r="DB44" s="31">
        <f>DB33*90/100</f>
        <v>14049.891000000001</v>
      </c>
      <c r="DC44" s="31">
        <v>14325.21</v>
      </c>
      <c r="DD44" s="31">
        <v>14325.21</v>
      </c>
      <c r="DE44" s="31">
        <v>14325.21</v>
      </c>
      <c r="DF44" s="31">
        <v>14325.21</v>
      </c>
      <c r="DG44" s="134"/>
      <c r="DI44" s="826"/>
      <c r="DJ44" s="788"/>
    </row>
    <row r="45" spans="1:114" s="783" customFormat="1" ht="12" hidden="1" customHeight="1">
      <c r="A45" s="130"/>
      <c r="B45" s="131" t="s">
        <v>339</v>
      </c>
      <c r="C45" s="829" t="s">
        <v>54</v>
      </c>
      <c r="D45" s="31">
        <v>0</v>
      </c>
      <c r="E45" s="31">
        <v>0</v>
      </c>
      <c r="F45" s="31">
        <v>0</v>
      </c>
      <c r="G45" s="31">
        <v>0</v>
      </c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55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56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56"/>
      <c r="AX45" s="31"/>
      <c r="AY45" s="31">
        <v>0</v>
      </c>
      <c r="AZ45" s="109"/>
      <c r="BA45" s="62"/>
      <c r="BB45" s="62"/>
      <c r="BC45" s="62"/>
      <c r="BD45" s="62"/>
      <c r="BE45" s="110">
        <f>AY45</f>
        <v>0</v>
      </c>
      <c r="BF45" s="109"/>
      <c r="BG45" s="62"/>
      <c r="BH45" s="62"/>
      <c r="BI45" s="110"/>
      <c r="BJ45" s="426"/>
      <c r="BK45" s="427"/>
      <c r="BL45" s="428"/>
      <c r="BM45" s="109"/>
      <c r="BN45" s="62"/>
      <c r="BO45" s="429"/>
      <c r="BP45" s="109"/>
      <c r="BQ45" s="62"/>
      <c r="BR45" s="62"/>
      <c r="BS45" s="430"/>
      <c r="BT45" s="109"/>
      <c r="BU45" s="62"/>
      <c r="BV45" s="62"/>
      <c r="BW45" s="430"/>
      <c r="BX45" s="431"/>
      <c r="BY45" s="432"/>
      <c r="BZ45" s="31"/>
      <c r="CA45" s="109"/>
      <c r="CB45" s="433"/>
      <c r="CC45" s="72"/>
      <c r="CD45" s="434"/>
      <c r="CE45" s="62"/>
      <c r="CF45" s="110"/>
      <c r="CG45" s="406"/>
      <c r="CH45" s="406"/>
      <c r="CI45" s="406"/>
      <c r="CJ45" s="406"/>
      <c r="CK45" s="406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406"/>
      <c r="CY45" s="406"/>
      <c r="CZ45" s="406"/>
      <c r="DA45" s="31">
        <f>DA34</f>
        <v>3680.7999999999997</v>
      </c>
      <c r="DB45" s="31">
        <f>DB34</f>
        <v>3680.7999999999997</v>
      </c>
      <c r="DC45" s="31">
        <v>0</v>
      </c>
      <c r="DD45" s="31">
        <v>0</v>
      </c>
      <c r="DE45" s="31">
        <v>0</v>
      </c>
      <c r="DF45" s="31">
        <v>0</v>
      </c>
      <c r="DG45" s="134"/>
      <c r="DI45" s="826"/>
      <c r="DJ45" s="788"/>
    </row>
    <row r="46" spans="1:114" s="783" customFormat="1" ht="24" hidden="1" customHeight="1">
      <c r="A46" s="130"/>
      <c r="B46" s="142" t="s">
        <v>155</v>
      </c>
      <c r="C46" s="829" t="s">
        <v>54</v>
      </c>
      <c r="D46" s="31"/>
      <c r="E46" s="31"/>
      <c r="F46" s="31"/>
      <c r="G46" s="31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55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56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56"/>
      <c r="AX46" s="31"/>
      <c r="AY46" s="31"/>
      <c r="AZ46" s="109"/>
      <c r="BA46" s="62"/>
      <c r="BB46" s="62"/>
      <c r="BC46" s="62"/>
      <c r="BD46" s="62"/>
      <c r="BE46" s="110"/>
      <c r="BF46" s="109">
        <f>AY46</f>
        <v>0</v>
      </c>
      <c r="BG46" s="62"/>
      <c r="BH46" s="62"/>
      <c r="BI46" s="110"/>
      <c r="BJ46" s="426"/>
      <c r="BK46" s="427"/>
      <c r="BL46" s="428"/>
      <c r="BM46" s="109"/>
      <c r="BN46" s="62"/>
      <c r="BO46" s="429"/>
      <c r="BP46" s="109"/>
      <c r="BQ46" s="62"/>
      <c r="BR46" s="62"/>
      <c r="BS46" s="430"/>
      <c r="BT46" s="109"/>
      <c r="BU46" s="62"/>
      <c r="BV46" s="62"/>
      <c r="BW46" s="430"/>
      <c r="BX46" s="431"/>
      <c r="BY46" s="432"/>
      <c r="BZ46" s="31"/>
      <c r="CA46" s="109"/>
      <c r="CB46" s="433"/>
      <c r="CC46" s="72"/>
      <c r="CD46" s="434"/>
      <c r="CE46" s="62"/>
      <c r="CF46" s="110"/>
      <c r="CG46" s="406"/>
      <c r="CH46" s="406"/>
      <c r="CI46" s="406"/>
      <c r="CJ46" s="406"/>
      <c r="CK46" s="406"/>
      <c r="CL46" s="406"/>
      <c r="CM46" s="406"/>
      <c r="CN46" s="406"/>
      <c r="CO46" s="406"/>
      <c r="CP46" s="406"/>
      <c r="CQ46" s="406"/>
      <c r="CR46" s="406"/>
      <c r="CS46" s="406"/>
      <c r="CT46" s="406"/>
      <c r="CU46" s="406"/>
      <c r="CV46" s="406"/>
      <c r="CW46" s="406"/>
      <c r="CX46" s="406"/>
      <c r="CY46" s="406"/>
      <c r="CZ46" s="406"/>
      <c r="DA46" s="31"/>
      <c r="DB46" s="31"/>
      <c r="DC46" s="31"/>
      <c r="DD46" s="31"/>
      <c r="DE46" s="31"/>
      <c r="DF46" s="31"/>
      <c r="DG46" s="134"/>
      <c r="DI46" s="826"/>
      <c r="DJ46" s="788"/>
    </row>
    <row r="47" spans="1:114" s="783" customFormat="1" ht="12" hidden="1" customHeight="1">
      <c r="A47" s="130"/>
      <c r="B47" s="131" t="s">
        <v>204</v>
      </c>
      <c r="C47" s="829" t="s">
        <v>54</v>
      </c>
      <c r="D47" s="31"/>
      <c r="E47" s="31"/>
      <c r="F47" s="31"/>
      <c r="G47" s="31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55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56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56"/>
      <c r="AX47" s="31"/>
      <c r="AY47" s="31"/>
      <c r="AZ47" s="109"/>
      <c r="BA47" s="62"/>
      <c r="BB47" s="62"/>
      <c r="BC47" s="62"/>
      <c r="BD47" s="62"/>
      <c r="BE47" s="110"/>
      <c r="BF47" s="109"/>
      <c r="BG47" s="62">
        <f>AY47</f>
        <v>0</v>
      </c>
      <c r="BH47" s="62"/>
      <c r="BI47" s="110"/>
      <c r="BJ47" s="426"/>
      <c r="BK47" s="427"/>
      <c r="BL47" s="428"/>
      <c r="BM47" s="109"/>
      <c r="BN47" s="62"/>
      <c r="BO47" s="429"/>
      <c r="BP47" s="109"/>
      <c r="BQ47" s="62"/>
      <c r="BR47" s="62"/>
      <c r="BS47" s="430"/>
      <c r="BT47" s="109"/>
      <c r="BU47" s="62"/>
      <c r="BV47" s="62"/>
      <c r="BW47" s="430"/>
      <c r="BX47" s="431"/>
      <c r="BY47" s="432"/>
      <c r="BZ47" s="31"/>
      <c r="CA47" s="109"/>
      <c r="CB47" s="433"/>
      <c r="CC47" s="72"/>
      <c r="CD47" s="434"/>
      <c r="CE47" s="62"/>
      <c r="CF47" s="110"/>
      <c r="CG47" s="406"/>
      <c r="CH47" s="406"/>
      <c r="CI47" s="406"/>
      <c r="CJ47" s="406"/>
      <c r="CK47" s="406"/>
      <c r="CL47" s="406"/>
      <c r="CM47" s="406"/>
      <c r="CN47" s="406"/>
      <c r="CO47" s="406"/>
      <c r="CP47" s="406"/>
      <c r="CQ47" s="406"/>
      <c r="CR47" s="406"/>
      <c r="CS47" s="406"/>
      <c r="CT47" s="406"/>
      <c r="CU47" s="406"/>
      <c r="CV47" s="406"/>
      <c r="CW47" s="406"/>
      <c r="CX47" s="406"/>
      <c r="CY47" s="406"/>
      <c r="CZ47" s="406"/>
      <c r="DA47" s="31"/>
      <c r="DB47" s="31"/>
      <c r="DC47" s="31"/>
      <c r="DD47" s="31"/>
      <c r="DE47" s="31"/>
      <c r="DF47" s="31"/>
      <c r="DG47" s="134"/>
      <c r="DI47" s="826"/>
      <c r="DJ47" s="788"/>
    </row>
    <row r="48" spans="1:114" s="783" customFormat="1" ht="12" hidden="1" customHeight="1">
      <c r="A48" s="130"/>
      <c r="B48" s="131" t="s">
        <v>91</v>
      </c>
      <c r="C48" s="829" t="s">
        <v>54</v>
      </c>
      <c r="D48" s="31"/>
      <c r="E48" s="31"/>
      <c r="F48" s="31"/>
      <c r="G48" s="31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55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56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56"/>
      <c r="AX48" s="31"/>
      <c r="AY48" s="31"/>
      <c r="AZ48" s="109"/>
      <c r="BA48" s="62"/>
      <c r="BB48" s="62"/>
      <c r="BC48" s="62"/>
      <c r="BD48" s="62"/>
      <c r="BE48" s="110"/>
      <c r="BF48" s="109"/>
      <c r="BG48" s="62">
        <f>AY48</f>
        <v>0</v>
      </c>
      <c r="BH48" s="62"/>
      <c r="BI48" s="110"/>
      <c r="BJ48" s="426"/>
      <c r="BK48" s="427"/>
      <c r="BL48" s="428"/>
      <c r="BM48" s="109"/>
      <c r="BN48" s="62"/>
      <c r="BO48" s="429"/>
      <c r="BP48" s="109"/>
      <c r="BQ48" s="62"/>
      <c r="BR48" s="62"/>
      <c r="BS48" s="430"/>
      <c r="BT48" s="109"/>
      <c r="BU48" s="62"/>
      <c r="BV48" s="62"/>
      <c r="BW48" s="430"/>
      <c r="BX48" s="431"/>
      <c r="BY48" s="432"/>
      <c r="BZ48" s="31"/>
      <c r="CA48" s="109"/>
      <c r="CB48" s="433"/>
      <c r="CC48" s="72"/>
      <c r="CD48" s="434"/>
      <c r="CE48" s="62"/>
      <c r="CF48" s="110"/>
      <c r="CG48" s="406"/>
      <c r="CH48" s="406"/>
      <c r="CI48" s="406"/>
      <c r="CJ48" s="406"/>
      <c r="CK48" s="406"/>
      <c r="CL48" s="406"/>
      <c r="CM48" s="406"/>
      <c r="CN48" s="406"/>
      <c r="CO48" s="406"/>
      <c r="CP48" s="406"/>
      <c r="CQ48" s="406"/>
      <c r="CR48" s="406"/>
      <c r="CS48" s="406"/>
      <c r="CT48" s="406"/>
      <c r="CU48" s="406"/>
      <c r="CV48" s="406"/>
      <c r="CW48" s="406"/>
      <c r="CX48" s="406"/>
      <c r="CY48" s="406"/>
      <c r="CZ48" s="406"/>
      <c r="DA48" s="31"/>
      <c r="DB48" s="31"/>
      <c r="DC48" s="31"/>
      <c r="DD48" s="31"/>
      <c r="DE48" s="31"/>
      <c r="DF48" s="31"/>
      <c r="DG48" s="134"/>
      <c r="DI48" s="826"/>
      <c r="DJ48" s="788"/>
    </row>
    <row r="49" spans="1:114" s="783" customFormat="1" ht="12" hidden="1" customHeight="1">
      <c r="A49" s="130"/>
      <c r="B49" s="131" t="s">
        <v>137</v>
      </c>
      <c r="C49" s="829" t="s">
        <v>54</v>
      </c>
      <c r="D49" s="31"/>
      <c r="E49" s="31"/>
      <c r="F49" s="31"/>
      <c r="G49" s="31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55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56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56"/>
      <c r="AX49" s="31"/>
      <c r="AY49" s="31"/>
      <c r="AZ49" s="109"/>
      <c r="BA49" s="62"/>
      <c r="BB49" s="62"/>
      <c r="BC49" s="62"/>
      <c r="BD49" s="62"/>
      <c r="BE49" s="110"/>
      <c r="BF49" s="109"/>
      <c r="BG49" s="62"/>
      <c r="BH49" s="62">
        <f>AY49</f>
        <v>0</v>
      </c>
      <c r="BI49" s="110"/>
      <c r="BJ49" s="426"/>
      <c r="BK49" s="427"/>
      <c r="BL49" s="428"/>
      <c r="BM49" s="109"/>
      <c r="BN49" s="62"/>
      <c r="BO49" s="429"/>
      <c r="BP49" s="109"/>
      <c r="BQ49" s="62"/>
      <c r="BR49" s="62"/>
      <c r="BS49" s="430"/>
      <c r="BT49" s="109"/>
      <c r="BU49" s="62"/>
      <c r="BV49" s="62"/>
      <c r="BW49" s="430"/>
      <c r="BX49" s="431"/>
      <c r="BY49" s="432"/>
      <c r="BZ49" s="31"/>
      <c r="CA49" s="109"/>
      <c r="CB49" s="433"/>
      <c r="CC49" s="72"/>
      <c r="CD49" s="434"/>
      <c r="CE49" s="62"/>
      <c r="CF49" s="110"/>
      <c r="CG49" s="406"/>
      <c r="CH49" s="406"/>
      <c r="CI49" s="406"/>
      <c r="CJ49" s="406"/>
      <c r="CK49" s="406"/>
      <c r="CL49" s="406"/>
      <c r="CM49" s="406"/>
      <c r="CN49" s="406"/>
      <c r="CO49" s="406"/>
      <c r="CP49" s="406"/>
      <c r="CQ49" s="406"/>
      <c r="CR49" s="406"/>
      <c r="CS49" s="406"/>
      <c r="CT49" s="406"/>
      <c r="CU49" s="406"/>
      <c r="CV49" s="406"/>
      <c r="CW49" s="406"/>
      <c r="CX49" s="406"/>
      <c r="CY49" s="406"/>
      <c r="CZ49" s="406"/>
      <c r="DA49" s="31"/>
      <c r="DB49" s="31"/>
      <c r="DC49" s="31"/>
      <c r="DD49" s="31"/>
      <c r="DE49" s="31"/>
      <c r="DF49" s="31"/>
      <c r="DG49" s="134"/>
      <c r="DI49" s="826"/>
      <c r="DJ49" s="788"/>
    </row>
    <row r="50" spans="1:114" s="783" customFormat="1" ht="12" hidden="1" customHeight="1">
      <c r="A50" s="130"/>
      <c r="B50" s="131" t="s">
        <v>110</v>
      </c>
      <c r="C50" s="829" t="s">
        <v>54</v>
      </c>
      <c r="D50" s="31"/>
      <c r="E50" s="31"/>
      <c r="F50" s="31"/>
      <c r="G50" s="31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55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56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56"/>
      <c r="AX50" s="31"/>
      <c r="AY50" s="31"/>
      <c r="AZ50" s="109"/>
      <c r="BA50" s="62"/>
      <c r="BB50" s="62"/>
      <c r="BC50" s="62"/>
      <c r="BD50" s="62"/>
      <c r="BE50" s="110"/>
      <c r="BF50" s="109"/>
      <c r="BG50" s="62"/>
      <c r="BH50" s="62">
        <f>AY50</f>
        <v>0</v>
      </c>
      <c r="BI50" s="110"/>
      <c r="BJ50" s="426"/>
      <c r="BK50" s="427"/>
      <c r="BL50" s="428"/>
      <c r="BM50" s="109"/>
      <c r="BN50" s="62"/>
      <c r="BO50" s="429"/>
      <c r="BP50" s="109"/>
      <c r="BQ50" s="62"/>
      <c r="BR50" s="62"/>
      <c r="BS50" s="430"/>
      <c r="BT50" s="109"/>
      <c r="BU50" s="62"/>
      <c r="BV50" s="62"/>
      <c r="BW50" s="430"/>
      <c r="BX50" s="431"/>
      <c r="BY50" s="432"/>
      <c r="BZ50" s="31"/>
      <c r="CA50" s="109"/>
      <c r="CB50" s="433"/>
      <c r="CC50" s="72"/>
      <c r="CD50" s="434"/>
      <c r="CE50" s="62"/>
      <c r="CF50" s="110"/>
      <c r="CG50" s="406"/>
      <c r="CH50" s="406"/>
      <c r="CI50" s="406"/>
      <c r="CJ50" s="406"/>
      <c r="CK50" s="406"/>
      <c r="CL50" s="406"/>
      <c r="CM50" s="406"/>
      <c r="CN50" s="406"/>
      <c r="CO50" s="406"/>
      <c r="CP50" s="406"/>
      <c r="CQ50" s="406"/>
      <c r="CR50" s="406"/>
      <c r="CS50" s="406"/>
      <c r="CT50" s="406"/>
      <c r="CU50" s="406"/>
      <c r="CV50" s="406"/>
      <c r="CW50" s="406"/>
      <c r="CX50" s="406"/>
      <c r="CY50" s="406"/>
      <c r="CZ50" s="406"/>
      <c r="DA50" s="31"/>
      <c r="DB50" s="31"/>
      <c r="DC50" s="31"/>
      <c r="DD50" s="31"/>
      <c r="DE50" s="31"/>
      <c r="DF50" s="31"/>
      <c r="DG50" s="134"/>
      <c r="DI50" s="826"/>
      <c r="DJ50" s="788"/>
    </row>
    <row r="51" spans="1:114" s="783" customFormat="1" ht="12" hidden="1" customHeight="1">
      <c r="A51" s="130"/>
      <c r="B51" s="142" t="s">
        <v>109</v>
      </c>
      <c r="C51" s="829" t="s">
        <v>54</v>
      </c>
      <c r="D51" s="78"/>
      <c r="E51" s="78"/>
      <c r="F51" s="78"/>
      <c r="G51" s="78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55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56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56"/>
      <c r="AX51" s="31"/>
      <c r="AY51" s="31"/>
      <c r="AZ51" s="109"/>
      <c r="BA51" s="62"/>
      <c r="BB51" s="62"/>
      <c r="BC51" s="62"/>
      <c r="BD51" s="62"/>
      <c r="BE51" s="110"/>
      <c r="BF51" s="109"/>
      <c r="BG51" s="62"/>
      <c r="BH51" s="62">
        <f>AY51</f>
        <v>0</v>
      </c>
      <c r="BI51" s="110"/>
      <c r="BJ51" s="426"/>
      <c r="BK51" s="427"/>
      <c r="BL51" s="428"/>
      <c r="BM51" s="109"/>
      <c r="BN51" s="62"/>
      <c r="BO51" s="429"/>
      <c r="BP51" s="109"/>
      <c r="BQ51" s="62"/>
      <c r="BR51" s="62"/>
      <c r="BS51" s="430"/>
      <c r="BT51" s="109"/>
      <c r="BU51" s="62"/>
      <c r="BV51" s="62"/>
      <c r="BW51" s="430"/>
      <c r="BX51" s="431"/>
      <c r="BY51" s="432"/>
      <c r="BZ51" s="31"/>
      <c r="CA51" s="109"/>
      <c r="CB51" s="433"/>
      <c r="CC51" s="72"/>
      <c r="CD51" s="434"/>
      <c r="CE51" s="62"/>
      <c r="CF51" s="110"/>
      <c r="CG51" s="406"/>
      <c r="CH51" s="406"/>
      <c r="CI51" s="406"/>
      <c r="CJ51" s="406"/>
      <c r="CK51" s="406"/>
      <c r="CL51" s="406"/>
      <c r="CM51" s="406"/>
      <c r="CN51" s="406"/>
      <c r="CO51" s="406"/>
      <c r="CP51" s="406"/>
      <c r="CQ51" s="406"/>
      <c r="CR51" s="406"/>
      <c r="CS51" s="406"/>
      <c r="CT51" s="406"/>
      <c r="CU51" s="406"/>
      <c r="CV51" s="406"/>
      <c r="CW51" s="406"/>
      <c r="CX51" s="406"/>
      <c r="CY51" s="406"/>
      <c r="CZ51" s="406"/>
      <c r="DA51" s="31"/>
      <c r="DB51" s="31"/>
      <c r="DC51" s="78"/>
      <c r="DD51" s="78"/>
      <c r="DE51" s="78"/>
      <c r="DF51" s="78"/>
      <c r="DG51" s="134"/>
      <c r="DI51" s="826"/>
      <c r="DJ51" s="788"/>
    </row>
    <row r="52" spans="1:114" s="783" customFormat="1" ht="12" hidden="1" customHeight="1">
      <c r="A52" s="130"/>
      <c r="B52" s="131" t="s">
        <v>338</v>
      </c>
      <c r="C52" s="829" t="s">
        <v>54</v>
      </c>
      <c r="D52" s="31"/>
      <c r="E52" s="31"/>
      <c r="F52" s="31"/>
      <c r="G52" s="31"/>
      <c r="H52" s="134"/>
      <c r="I52" s="134"/>
      <c r="J52" s="134"/>
      <c r="K52" s="134"/>
      <c r="L52" s="134"/>
      <c r="M52" s="134">
        <v>89.53</v>
      </c>
      <c r="N52" s="134"/>
      <c r="O52" s="134"/>
      <c r="P52" s="134"/>
      <c r="Q52" s="134"/>
      <c r="R52" s="134"/>
      <c r="S52" s="134"/>
      <c r="T52" s="134"/>
      <c r="U52" s="134"/>
      <c r="V52" s="134">
        <v>89.53</v>
      </c>
      <c r="W52" s="134"/>
      <c r="X52" s="134"/>
      <c r="Y52" s="155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56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56"/>
      <c r="AX52" s="31"/>
      <c r="AY52" s="31"/>
      <c r="AZ52" s="109"/>
      <c r="BA52" s="62"/>
      <c r="BB52" s="62"/>
      <c r="BC52" s="62"/>
      <c r="BD52" s="62"/>
      <c r="BE52" s="110"/>
      <c r="BF52" s="109"/>
      <c r="BG52" s="62"/>
      <c r="BH52" s="62"/>
      <c r="BI52" s="110">
        <f>AY52</f>
        <v>0</v>
      </c>
      <c r="BJ52" s="426"/>
      <c r="BK52" s="427"/>
      <c r="BL52" s="428"/>
      <c r="BM52" s="109"/>
      <c r="BN52" s="62"/>
      <c r="BO52" s="429"/>
      <c r="BP52" s="109"/>
      <c r="BQ52" s="62"/>
      <c r="BR52" s="62"/>
      <c r="BS52" s="430"/>
      <c r="BT52" s="109"/>
      <c r="BU52" s="62"/>
      <c r="BV52" s="62"/>
      <c r="BW52" s="430"/>
      <c r="BX52" s="431"/>
      <c r="BY52" s="432">
        <v>0</v>
      </c>
      <c r="BZ52" s="31">
        <f>M52+BM52+BQ52+BU52</f>
        <v>89.53</v>
      </c>
      <c r="CA52" s="109">
        <f>BZ52-BY52</f>
        <v>89.53</v>
      </c>
      <c r="CB52" s="433">
        <v>0</v>
      </c>
      <c r="CC52" s="72">
        <f t="shared" ref="CC52:CC60" si="12">BZ52-E52</f>
        <v>89.53</v>
      </c>
      <c r="CD52" s="434"/>
      <c r="CE52" s="62">
        <v>1597.61</v>
      </c>
      <c r="CF52" s="110"/>
      <c r="CG52" s="406"/>
      <c r="CH52" s="406"/>
      <c r="CI52" s="406"/>
      <c r="CJ52" s="406"/>
      <c r="CK52" s="406"/>
      <c r="CL52" s="406"/>
      <c r="CM52" s="406"/>
      <c r="CN52" s="406"/>
      <c r="CO52" s="406"/>
      <c r="CP52" s="406"/>
      <c r="CQ52" s="406"/>
      <c r="CR52" s="406"/>
      <c r="CS52" s="406"/>
      <c r="CT52" s="406"/>
      <c r="CU52" s="406"/>
      <c r="CV52" s="406"/>
      <c r="CW52" s="406"/>
      <c r="CX52" s="406"/>
      <c r="CY52" s="406"/>
      <c r="CZ52" s="406"/>
      <c r="DA52" s="31"/>
      <c r="DB52" s="31"/>
      <c r="DC52" s="31"/>
      <c r="DD52" s="31"/>
      <c r="DE52" s="31"/>
      <c r="DF52" s="31"/>
      <c r="DG52" s="134"/>
      <c r="DI52" s="826"/>
      <c r="DJ52" s="788"/>
    </row>
    <row r="53" spans="1:114" s="783" customFormat="1">
      <c r="A53" s="159">
        <v>3</v>
      </c>
      <c r="B53" s="160" t="s">
        <v>340</v>
      </c>
      <c r="C53" s="833" t="s">
        <v>54</v>
      </c>
      <c r="D53" s="117" t="e">
        <f>SUM(D54,D55,D60,D70,D73,#REF!,D92)</f>
        <v>#REF!</v>
      </c>
      <c r="E53" s="117" t="e">
        <f>SUM(E54,E55,E60,E70,E73,#REF!,E92)</f>
        <v>#REF!</v>
      </c>
      <c r="F53" s="117" t="e">
        <f>SUM(F54,F55,F60,F70,F73,#REF!,F92)</f>
        <v>#REF!</v>
      </c>
      <c r="G53" s="117" t="e">
        <f>SUM(G54,G55,G60,G70,G73,#REF!,G92)</f>
        <v>#REF!</v>
      </c>
      <c r="H53" s="117" t="e">
        <f>H54+H55+#REF!+#REF!+#REF!+#REF!+#REF!+#REF!+#REF!+#REF!+#REF!</f>
        <v>#REF!</v>
      </c>
      <c r="I53" s="117" t="e">
        <f>I54+I55+#REF!+#REF!+#REF!+#REF!+#REF!+#REF!+#REF!+#REF!+#REF!</f>
        <v>#REF!</v>
      </c>
      <c r="J53" s="117" t="e">
        <f>J54+J55+#REF!+#REF!+#REF!+#REF!+#REF!+#REF!+#REF!+#REF!+#REF!</f>
        <v>#REF!</v>
      </c>
      <c r="K53" s="117" t="e">
        <f>K54+K55+#REF!+#REF!+#REF!+#REF!+#REF!+#REF!+#REF!+#REF!+#REF!</f>
        <v>#REF!</v>
      </c>
      <c r="L53" s="117" t="e">
        <f>L54+L55+#REF!+#REF!+#REF!+#REF!+#REF!+#REF!+#REF!+#REF!+#REF!</f>
        <v>#REF!</v>
      </c>
      <c r="M53" s="117" t="e">
        <f>M54+M55+#REF!+#REF!+#REF!+#REF!+#REF!+#REF!+#REF!+#REF!+#REF!</f>
        <v>#REF!</v>
      </c>
      <c r="N53" s="117" t="e">
        <f>N54+N55+#REF!+#REF!+#REF!+#REF!+#REF!+#REF!+#REF!+#REF!+#REF!</f>
        <v>#REF!</v>
      </c>
      <c r="O53" s="117" t="e">
        <f>O54+O55+#REF!+#REF!+#REF!+#REF!+#REF!+#REF!+#REF!+#REF!+#REF!</f>
        <v>#REF!</v>
      </c>
      <c r="P53" s="117" t="e">
        <f>P54+P55+#REF!+#REF!+#REF!+#REF!+#REF!+#REF!+#REF!+#REF!+#REF!</f>
        <v>#REF!</v>
      </c>
      <c r="Q53" s="117" t="e">
        <f>Q54+Q55+#REF!+#REF!+#REF!+#REF!+#REF!+#REF!+#REF!+#REF!+#REF!</f>
        <v>#REF!</v>
      </c>
      <c r="R53" s="117" t="e">
        <f>R54+R55+#REF!+#REF!+#REF!+#REF!+#REF!+#REF!+#REF!+#REF!+#REF!</f>
        <v>#REF!</v>
      </c>
      <c r="S53" s="117" t="e">
        <f>S54+S55+#REF!+#REF!+#REF!+#REF!+#REF!+#REF!+#REF!+#REF!+#REF!</f>
        <v>#REF!</v>
      </c>
      <c r="T53" s="117" t="e">
        <f>T54+T55+#REF!+#REF!+#REF!+#REF!+#REF!+#REF!+#REF!+#REF!+#REF!</f>
        <v>#REF!</v>
      </c>
      <c r="U53" s="117" t="e">
        <f>U54+U55+#REF!+#REF!+#REF!+#REF!+#REF!+#REF!+#REF!+#REF!+#REF!</f>
        <v>#REF!</v>
      </c>
      <c r="V53" s="117" t="e">
        <f>V54+V55+#REF!+#REF!+#REF!+#REF!</f>
        <v>#REF!</v>
      </c>
      <c r="W53" s="117"/>
      <c r="X53" s="162" t="e">
        <f t="shared" ref="X53:X59" si="13">O53-N53</f>
        <v>#REF!</v>
      </c>
      <c r="Y53" s="163" t="e">
        <f t="shared" ref="Y53:Y59" si="14">O53/N53</f>
        <v>#REF!</v>
      </c>
      <c r="Z53" s="117" t="e">
        <f>Z54+Z55+#REF!+#REF!+#REF!+#REF!+#REF!+#REF!+#REF!+#REF!+#REF!</f>
        <v>#REF!</v>
      </c>
      <c r="AA53" s="117" t="e">
        <f>AA54+AA55+#REF!+#REF!+#REF!+#REF!+#REF!+#REF!+#REF!+#REF!+#REF!</f>
        <v>#REF!</v>
      </c>
      <c r="AB53" s="117" t="e">
        <f>AB54+AB55+#REF!+#REF!+#REF!+#REF!+#REF!+#REF!+#REF!+#REF!+#REF!</f>
        <v>#REF!</v>
      </c>
      <c r="AC53" s="117" t="e">
        <f>AC54+AC55+#REF!+#REF!+#REF!+#REF!+#REF!+#REF!+#REF!+#REF!+#REF!</f>
        <v>#REF!</v>
      </c>
      <c r="AD53" s="117" t="e">
        <f>AD54+AD55+#REF!+#REF!+#REF!+#REF!+#REF!+#REF!+#REF!+#REF!+#REF!</f>
        <v>#REF!</v>
      </c>
      <c r="AE53" s="117" t="e">
        <f>AE54+AE55+#REF!+#REF!+#REF!+#REF!+#REF!+#REF!+#REF!+#REF!+#REF!</f>
        <v>#REF!</v>
      </c>
      <c r="AF53" s="117" t="e">
        <f>AF54+AF55+#REF!+#REF!+#REF!+#REF!+#REF!+#REF!+#REF!+#REF!+#REF!</f>
        <v>#REF!</v>
      </c>
      <c r="AG53" s="117" t="e">
        <f>AG54+AG55+#REF!+#REF!+#REF!+#REF!+#REF!+#REF!+#REF!+#REF!+#REF!</f>
        <v>#REF!</v>
      </c>
      <c r="AH53" s="117" t="e">
        <f>AH54+AH55+#REF!+#REF!+#REF!+#REF!</f>
        <v>#REF!</v>
      </c>
      <c r="AI53" s="117"/>
      <c r="AJ53" s="162" t="e">
        <f t="shared" ref="AJ53:AJ59" si="15">AC53-AB53</f>
        <v>#REF!</v>
      </c>
      <c r="AK53" s="164" t="e">
        <f t="shared" ref="AK53:AK59" si="16">AC53/AB53</f>
        <v>#REF!</v>
      </c>
      <c r="AL53" s="117" t="e">
        <f>AL54+AL55+#REF!+#REF!+#REF!+#REF!+#REF!+#REF!+#REF!+#REF!+#REF!</f>
        <v>#REF!</v>
      </c>
      <c r="AM53" s="117" t="e">
        <f>AM54+AM55+#REF!+#REF!+#REF!+#REF!+#REF!+#REF!+#REF!+#REF!+#REF!</f>
        <v>#REF!</v>
      </c>
      <c r="AN53" s="117" t="e">
        <f>AN54+AN55+#REF!+#REF!+#REF!+#REF!+#REF!+#REF!+#REF!+#REF!+#REF!</f>
        <v>#REF!</v>
      </c>
      <c r="AO53" s="117" t="e">
        <f>AO54+AO55+#REF!+#REF!+#REF!+#REF!+#REF!+#REF!+#REF!+#REF!+#REF!</f>
        <v>#REF!</v>
      </c>
      <c r="AP53" s="117" t="e">
        <f>AP54+AP55+#REF!+#REF!+#REF!+#REF!+#REF!+#REF!+#REF!+#REF!+#REF!</f>
        <v>#REF!</v>
      </c>
      <c r="AQ53" s="117" t="e">
        <f>AQ54+AQ55+#REF!+#REF!+#REF!+#REF!+#REF!+#REF!+#REF!+#REF!+#REF!</f>
        <v>#REF!</v>
      </c>
      <c r="AR53" s="117" t="e">
        <f>AR54+AR55+#REF!+#REF!+#REF!+#REF!+#REF!+#REF!+#REF!+#REF!+#REF!</f>
        <v>#REF!</v>
      </c>
      <c r="AS53" s="117" t="e">
        <f>AS54+AS55+#REF!+#REF!+#REF!+#REF!+#REF!+#REF!+#REF!+#REF!+#REF!</f>
        <v>#REF!</v>
      </c>
      <c r="AT53" s="117" t="e">
        <f>AT54+AT55+#REF!+#REF!+#REF!+#REF!</f>
        <v>#REF!</v>
      </c>
      <c r="AU53" s="117"/>
      <c r="AV53" s="162" t="e">
        <f t="shared" ref="AV53:AV59" si="17">AO53-AN53</f>
        <v>#REF!</v>
      </c>
      <c r="AW53" s="164" t="e">
        <f t="shared" ref="AW53:AW59" si="18">AO53/AN53</f>
        <v>#REF!</v>
      </c>
      <c r="AX53" s="117" t="e">
        <f>G53/2</f>
        <v>#REF!</v>
      </c>
      <c r="AY53" s="117" t="e">
        <f>SUM(AY54,AY55,AY60,AY70,AY73,#REF!,AY92)</f>
        <v>#REF!</v>
      </c>
      <c r="AZ53" s="121" t="e">
        <f>AZ54+AZ55+#REF!+#REF!+#REF!+#REF!+#REF!+#REF!+#REF!+#REF!+#REF!</f>
        <v>#REF!</v>
      </c>
      <c r="BA53" s="122" t="e">
        <f>SUM(BA54,BA55,BA60,BA70,BA73,#REF!,BA92)</f>
        <v>#REF!</v>
      </c>
      <c r="BB53" s="122" t="e">
        <f>SUM(BB54,BB55,BB60,BB70,BB73,#REF!,BB92)</f>
        <v>#REF!</v>
      </c>
      <c r="BC53" s="122" t="e">
        <f>SUM(BC54,BC55,BC60,BC70,BC73,#REF!,BC92)</f>
        <v>#REF!</v>
      </c>
      <c r="BD53" s="122" t="e">
        <f>SUM(BD54,BD55,BD60,BD70,BD73,#REF!,BD92)</f>
        <v>#REF!</v>
      </c>
      <c r="BE53" s="123" t="e">
        <f>SUM(BE54,BE55,BE60,BE70,BE73,#REF!,BE92)</f>
        <v>#REF!</v>
      </c>
      <c r="BF53" s="121" t="e">
        <f>SUM(BF54,BF55,BF60,BF70,BF73,#REF!,BF92)</f>
        <v>#REF!</v>
      </c>
      <c r="BG53" s="122" t="e">
        <f>SUM(BG54,BG55,BG60,BG70,BG73,#REF!,BG92)</f>
        <v>#REF!</v>
      </c>
      <c r="BH53" s="122"/>
      <c r="BI53" s="123"/>
      <c r="BJ53" s="288" t="e">
        <f t="shared" ref="BJ53:BJ76" si="19">BA53-AZ53</f>
        <v>#REF!</v>
      </c>
      <c r="BK53" s="445" t="e">
        <f t="shared" ref="BK53:BK59" si="20">BA53/AZ53</f>
        <v>#REF!</v>
      </c>
      <c r="BL53" s="408"/>
      <c r="BM53" s="343" t="e">
        <f>BM54+BM55+#REF!+#REF!+#REF!+#REF!+#REF!+#REF!+#REF!+#REF!+#REF!</f>
        <v>#REF!</v>
      </c>
      <c r="BN53" s="122"/>
      <c r="BO53" s="409"/>
      <c r="BP53" s="446"/>
      <c r="BQ53" s="343"/>
      <c r="BR53" s="344"/>
      <c r="BS53" s="447"/>
      <c r="BT53" s="448"/>
      <c r="BU53" s="343"/>
      <c r="BV53" s="344"/>
      <c r="BW53" s="447"/>
      <c r="BX53" s="411" t="e">
        <f>BX54+BX55+#REF!+#REF!+#REF!+#REF!+#REF!+#REF!+#REF!</f>
        <v>#REF!</v>
      </c>
      <c r="BY53" s="449" t="e">
        <f>F53</f>
        <v>#REF!</v>
      </c>
      <c r="BZ53" s="162" t="e">
        <f>BZ54+BZ55+#REF!+#REF!+#REF!+#REF!+#REF!+#REF!+#REF!+#REF!+#REF!</f>
        <v>#REF!</v>
      </c>
      <c r="CA53" s="343" t="e">
        <f t="shared" ref="CA53:CA59" si="21">BZ53-BY53</f>
        <v>#REF!</v>
      </c>
      <c r="CB53" s="445" t="e">
        <f t="shared" ref="CB53:CB59" si="22">BZ53/BY53</f>
        <v>#REF!</v>
      </c>
      <c r="CC53" s="444" t="e">
        <f t="shared" si="12"/>
        <v>#REF!</v>
      </c>
      <c r="CD53" s="415" t="e">
        <f>CD54+CD55+#REF!+#REF!+#REF!+#REF!+#REF!+#REF!+#REF!+#REF!+#REF!</f>
        <v>#REF!</v>
      </c>
      <c r="CE53" s="122" t="e">
        <f>CE54+CE55+#REF!+#REF!+#REF!+#REF!+#REF!+#REF!+#REF!+#REF!+#REF!</f>
        <v>#REF!</v>
      </c>
      <c r="CF53" s="345" t="e">
        <f>CF54+CF55+#REF!+#REF!+#REF!+#REF!+#REF!+#REF!+#REF!+#REF!+#REF!</f>
        <v>#REF!</v>
      </c>
      <c r="CG53" s="450"/>
      <c r="CH53" s="450"/>
      <c r="CI53" s="450"/>
      <c r="CJ53" s="450"/>
      <c r="CK53" s="450"/>
      <c r="CL53" s="450"/>
      <c r="CM53" s="451"/>
      <c r="CN53" s="451"/>
      <c r="CO53" s="451"/>
      <c r="CP53" s="451"/>
      <c r="CQ53" s="451"/>
      <c r="CR53" s="451"/>
      <c r="CS53" s="451"/>
      <c r="CT53" s="451"/>
      <c r="CU53" s="451"/>
      <c r="CV53" s="451"/>
      <c r="CW53" s="451"/>
      <c r="CX53" s="451"/>
      <c r="CY53" s="451"/>
      <c r="CZ53" s="451"/>
      <c r="DA53" s="117" t="e">
        <f>SUM(DA54,DA55,DA60,DA70,DA73,#REF!,DA92)</f>
        <v>#REF!</v>
      </c>
      <c r="DB53" s="117" t="e">
        <f>SUM(DB54,DB55,DB60,DB70,DB73,#REF!,DB92)</f>
        <v>#REF!</v>
      </c>
      <c r="DC53" s="117">
        <v>35602.019999999997</v>
      </c>
      <c r="DD53" s="117">
        <f>SUM(DD54,DD55,DD60,DD70,DD73,DD92)</f>
        <v>33513.437969999999</v>
      </c>
      <c r="DE53" s="117">
        <v>37786.639999999999</v>
      </c>
      <c r="DF53" s="117" t="e">
        <f>SUM(DF54,DF55,DF60,DF70,DF73,#REF!,DF92)</f>
        <v>#REF!</v>
      </c>
      <c r="DG53" s="117" t="e">
        <f>SUM(DG54,DG55,DG60,DG70,DG73,#REF!,DG92)</f>
        <v>#REF!</v>
      </c>
      <c r="DI53" s="826"/>
      <c r="DJ53" s="788"/>
    </row>
    <row r="54" spans="1:114" s="783" customFormat="1">
      <c r="A54" s="165" t="s">
        <v>251</v>
      </c>
      <c r="B54" s="166" t="s">
        <v>1</v>
      </c>
      <c r="C54" s="834" t="s">
        <v>54</v>
      </c>
      <c r="D54" s="168">
        <v>1543.26</v>
      </c>
      <c r="E54" s="168">
        <v>2467.7199999999998</v>
      </c>
      <c r="F54" s="168">
        <v>2467.7199999999998</v>
      </c>
      <c r="G54" s="168">
        <v>2467.7199999999998</v>
      </c>
      <c r="H54" s="169">
        <v>900</v>
      </c>
      <c r="I54" s="169">
        <v>614.20000000000005</v>
      </c>
      <c r="J54" s="169">
        <v>159.69</v>
      </c>
      <c r="K54" s="169">
        <v>454.51</v>
      </c>
      <c r="L54" s="169">
        <f>G54/12</f>
        <v>205.64333333333332</v>
      </c>
      <c r="M54" s="169">
        <v>129.75</v>
      </c>
      <c r="N54" s="169">
        <v>62.45</v>
      </c>
      <c r="O54" s="169">
        <v>84.34</v>
      </c>
      <c r="P54" s="169">
        <v>12.55</v>
      </c>
      <c r="Q54" s="169">
        <v>4.59</v>
      </c>
      <c r="R54" s="169">
        <v>51.18</v>
      </c>
      <c r="S54" s="169">
        <v>40.82</v>
      </c>
      <c r="T54" s="169">
        <f>K54/12</f>
        <v>37.875833333333333</v>
      </c>
      <c r="U54" s="169"/>
      <c r="V54" s="169">
        <v>0</v>
      </c>
      <c r="W54" s="169"/>
      <c r="X54" s="170">
        <f t="shared" si="13"/>
        <v>21.89</v>
      </c>
      <c r="Y54" s="171">
        <f t="shared" si="14"/>
        <v>1.3505204163330664</v>
      </c>
      <c r="Z54" s="169">
        <v>126.18</v>
      </c>
      <c r="AA54" s="169">
        <v>129.36000000000001</v>
      </c>
      <c r="AB54" s="169">
        <v>75</v>
      </c>
      <c r="AC54" s="169"/>
      <c r="AD54" s="169">
        <v>13.31</v>
      </c>
      <c r="AE54" s="169"/>
      <c r="AF54" s="169">
        <v>37.880000000000003</v>
      </c>
      <c r="AG54" s="169"/>
      <c r="AH54" s="169"/>
      <c r="AI54" s="169"/>
      <c r="AJ54" s="170">
        <f t="shared" si="15"/>
        <v>-75</v>
      </c>
      <c r="AK54" s="172">
        <f t="shared" si="16"/>
        <v>0</v>
      </c>
      <c r="AL54" s="169">
        <v>126.18</v>
      </c>
      <c r="AM54" s="169">
        <v>129.36000000000001</v>
      </c>
      <c r="AN54" s="169">
        <v>75</v>
      </c>
      <c r="AO54" s="169"/>
      <c r="AP54" s="169">
        <v>13.31</v>
      </c>
      <c r="AQ54" s="169"/>
      <c r="AR54" s="169">
        <v>37.880000000000003</v>
      </c>
      <c r="AS54" s="169"/>
      <c r="AT54" s="169"/>
      <c r="AU54" s="169"/>
      <c r="AV54" s="170">
        <f t="shared" si="17"/>
        <v>-75</v>
      </c>
      <c r="AW54" s="172">
        <f t="shared" si="18"/>
        <v>0</v>
      </c>
      <c r="AX54" s="173">
        <f>G54/2</f>
        <v>1233.8599999999999</v>
      </c>
      <c r="AY54" s="167">
        <v>2503.98</v>
      </c>
      <c r="AZ54" s="174"/>
      <c r="BA54" s="175">
        <v>614.52</v>
      </c>
      <c r="BB54" s="175"/>
      <c r="BC54" s="175">
        <v>741.24</v>
      </c>
      <c r="BD54" s="175"/>
      <c r="BE54" s="176">
        <v>187.5</v>
      </c>
      <c r="BF54" s="174">
        <v>106.75</v>
      </c>
      <c r="BG54" s="175">
        <v>84.24</v>
      </c>
      <c r="BH54" s="175"/>
      <c r="BI54" s="176"/>
      <c r="BJ54" s="417">
        <f t="shared" si="19"/>
        <v>614.52</v>
      </c>
      <c r="BK54" s="452" t="e">
        <f t="shared" si="20"/>
        <v>#DIV/0!</v>
      </c>
      <c r="BL54" s="453"/>
      <c r="BM54" s="454">
        <v>129.35598999999999</v>
      </c>
      <c r="BN54" s="239"/>
      <c r="BO54" s="455"/>
      <c r="BP54" s="456"/>
      <c r="BQ54" s="454"/>
      <c r="BR54" s="457"/>
      <c r="BS54" s="458"/>
      <c r="BT54" s="456"/>
      <c r="BU54" s="454"/>
      <c r="BV54" s="457"/>
      <c r="BW54" s="458"/>
      <c r="BX54" s="459">
        <v>1156.8499999999999</v>
      </c>
      <c r="BY54" s="460">
        <f>L54+BL54+BP54+BT54</f>
        <v>205.64333333333332</v>
      </c>
      <c r="BZ54" s="461">
        <f>M54+BM54+BQ54+BU54</f>
        <v>259.10599000000002</v>
      </c>
      <c r="CA54" s="454">
        <f t="shared" si="21"/>
        <v>53.462656666666703</v>
      </c>
      <c r="CB54" s="462">
        <f t="shared" si="22"/>
        <v>1.2599775825458319</v>
      </c>
      <c r="CC54" s="309">
        <f t="shared" si="12"/>
        <v>-2208.6140099999998</v>
      </c>
      <c r="CD54" s="463">
        <v>1632.32</v>
      </c>
      <c r="CE54" s="175"/>
      <c r="CF54" s="464"/>
      <c r="CG54" s="465"/>
      <c r="CH54" s="465"/>
      <c r="CI54" s="465"/>
      <c r="CJ54" s="465"/>
      <c r="CK54" s="465"/>
      <c r="CL54" s="465"/>
      <c r="CM54" s="466"/>
      <c r="CN54" s="466"/>
      <c r="CO54" s="466"/>
      <c r="CP54" s="466"/>
      <c r="CQ54" s="466"/>
      <c r="CR54" s="466"/>
      <c r="CS54" s="466"/>
      <c r="CT54" s="466"/>
      <c r="CU54" s="466"/>
      <c r="CV54" s="466"/>
      <c r="CW54" s="466"/>
      <c r="CX54" s="466"/>
      <c r="CY54" s="466"/>
      <c r="CZ54" s="466"/>
      <c r="DA54" s="167">
        <v>2467.7199999999998</v>
      </c>
      <c r="DB54" s="167">
        <v>2803</v>
      </c>
      <c r="DC54" s="168">
        <v>2619.5</v>
      </c>
      <c r="DD54" s="168">
        <v>2619.5</v>
      </c>
      <c r="DE54" s="168">
        <v>2619.5</v>
      </c>
      <c r="DF54" s="168">
        <v>1471.58</v>
      </c>
      <c r="DG54" s="180">
        <v>1471.57</v>
      </c>
      <c r="DH54" s="835"/>
      <c r="DI54" s="826"/>
      <c r="DJ54" s="788"/>
    </row>
    <row r="55" spans="1:114" s="783" customFormat="1">
      <c r="A55" s="177" t="s">
        <v>252</v>
      </c>
      <c r="B55" s="178" t="s">
        <v>2</v>
      </c>
      <c r="C55" s="836" t="s">
        <v>54</v>
      </c>
      <c r="D55" s="179">
        <f>SUM(D56,D59)</f>
        <v>8938.1215799999991</v>
      </c>
      <c r="E55" s="179">
        <f>SUM(E56,E59)</f>
        <v>8938.1215799999991</v>
      </c>
      <c r="F55" s="179">
        <f>SUM(F56,F59)</f>
        <v>10751.247089999999</v>
      </c>
      <c r="G55" s="179">
        <f>SUM(G56,G59)</f>
        <v>10992.11175</v>
      </c>
      <c r="H55" s="180">
        <f t="shared" ref="H55:M55" si="23">H56+H59</f>
        <v>4836.0599999999995</v>
      </c>
      <c r="I55" s="180">
        <f t="shared" si="23"/>
        <v>2391.0299999999997</v>
      </c>
      <c r="J55" s="180">
        <f t="shared" si="23"/>
        <v>621.66</v>
      </c>
      <c r="K55" s="180">
        <f t="shared" si="23"/>
        <v>1769.37</v>
      </c>
      <c r="L55" s="180">
        <f t="shared" si="23"/>
        <v>916.00931250000008</v>
      </c>
      <c r="M55" s="180">
        <f t="shared" si="23"/>
        <v>651.26080000000002</v>
      </c>
      <c r="N55" s="180">
        <v>335.59</v>
      </c>
      <c r="O55" s="180">
        <f>O56+O59</f>
        <v>376.44000000000005</v>
      </c>
      <c r="P55" s="180">
        <v>67.42</v>
      </c>
      <c r="Q55" s="180">
        <f>Q56+Q59</f>
        <v>104.59</v>
      </c>
      <c r="R55" s="180">
        <f>R56+R59</f>
        <v>199.25</v>
      </c>
      <c r="S55" s="180">
        <f>S56+S59</f>
        <v>156.82000000000002</v>
      </c>
      <c r="T55" s="180">
        <f>T56+T59</f>
        <v>147.44749999999999</v>
      </c>
      <c r="U55" s="180"/>
      <c r="V55" s="180">
        <f>V56+V59</f>
        <v>13.41</v>
      </c>
      <c r="W55" s="180"/>
      <c r="X55" s="181">
        <f t="shared" si="13"/>
        <v>40.85000000000008</v>
      </c>
      <c r="Y55" s="182">
        <f t="shared" si="14"/>
        <v>1.1217259155517152</v>
      </c>
      <c r="Z55" s="180">
        <f t="shared" ref="Z55:AH55" si="24">Z56+Z59</f>
        <v>602.26</v>
      </c>
      <c r="AA55" s="180">
        <f t="shared" si="24"/>
        <v>591.05651</v>
      </c>
      <c r="AB55" s="180">
        <f t="shared" si="24"/>
        <v>403.01</v>
      </c>
      <c r="AC55" s="180">
        <f t="shared" si="24"/>
        <v>0</v>
      </c>
      <c r="AD55" s="180">
        <f t="shared" si="24"/>
        <v>51.805199966660005</v>
      </c>
      <c r="AE55" s="180">
        <f t="shared" si="24"/>
        <v>0</v>
      </c>
      <c r="AF55" s="180">
        <f t="shared" si="24"/>
        <v>147.44999999999999</v>
      </c>
      <c r="AG55" s="180">
        <f t="shared" si="24"/>
        <v>0</v>
      </c>
      <c r="AH55" s="180">
        <f t="shared" si="24"/>
        <v>0</v>
      </c>
      <c r="AI55" s="180"/>
      <c r="AJ55" s="181">
        <f t="shared" si="15"/>
        <v>-403.01</v>
      </c>
      <c r="AK55" s="183">
        <f t="shared" si="16"/>
        <v>0</v>
      </c>
      <c r="AL55" s="180">
        <f t="shared" ref="AL55:AT55" si="25">AL56+AL59</f>
        <v>602.26</v>
      </c>
      <c r="AM55" s="180">
        <f t="shared" si="25"/>
        <v>591.05651</v>
      </c>
      <c r="AN55" s="180">
        <f t="shared" si="25"/>
        <v>403.01</v>
      </c>
      <c r="AO55" s="180">
        <f t="shared" si="25"/>
        <v>0</v>
      </c>
      <c r="AP55" s="180">
        <f t="shared" si="25"/>
        <v>51.805199966660005</v>
      </c>
      <c r="AQ55" s="180">
        <f t="shared" si="25"/>
        <v>0</v>
      </c>
      <c r="AR55" s="180">
        <f t="shared" si="25"/>
        <v>147.44999999999999</v>
      </c>
      <c r="AS55" s="180">
        <f t="shared" si="25"/>
        <v>0</v>
      </c>
      <c r="AT55" s="180">
        <f t="shared" si="25"/>
        <v>0</v>
      </c>
      <c r="AU55" s="180"/>
      <c r="AV55" s="181">
        <f t="shared" si="17"/>
        <v>-403.01</v>
      </c>
      <c r="AW55" s="183">
        <f t="shared" si="18"/>
        <v>0</v>
      </c>
      <c r="AX55" s="179">
        <f>G55/2</f>
        <v>5496.055875</v>
      </c>
      <c r="AY55" s="179">
        <f>AY56+AY59</f>
        <v>9186.85</v>
      </c>
      <c r="AZ55" s="184">
        <f>AZ56+AZ59</f>
        <v>0</v>
      </c>
      <c r="BA55" s="185">
        <f>BA56+BA59</f>
        <v>4139.67</v>
      </c>
      <c r="BB55" s="185">
        <f t="shared" ref="BB55:BG55" si="26">BB56+BB59</f>
        <v>0</v>
      </c>
      <c r="BC55" s="185">
        <f t="shared" si="26"/>
        <v>3261.87</v>
      </c>
      <c r="BD55" s="185">
        <f t="shared" si="26"/>
        <v>0</v>
      </c>
      <c r="BE55" s="186">
        <f t="shared" si="26"/>
        <v>1051.42</v>
      </c>
      <c r="BF55" s="184">
        <f>BF56+BF59</f>
        <v>288.76812000000001</v>
      </c>
      <c r="BG55" s="185">
        <f t="shared" si="26"/>
        <v>415.17936000000003</v>
      </c>
      <c r="BH55" s="185"/>
      <c r="BI55" s="186"/>
      <c r="BJ55" s="426">
        <f t="shared" si="19"/>
        <v>4139.67</v>
      </c>
      <c r="BK55" s="467" t="e">
        <f t="shared" si="20"/>
        <v>#DIV/0!</v>
      </c>
      <c r="BL55" s="468"/>
      <c r="BM55" s="469">
        <f>BM56+BM59</f>
        <v>589.58738999999991</v>
      </c>
      <c r="BN55" s="264"/>
      <c r="BO55" s="470"/>
      <c r="BP55" s="471"/>
      <c r="BQ55" s="469"/>
      <c r="BR55" s="472"/>
      <c r="BS55" s="473"/>
      <c r="BT55" s="471"/>
      <c r="BU55" s="469"/>
      <c r="BV55" s="472"/>
      <c r="BW55" s="473"/>
      <c r="BX55" s="474">
        <v>6457.72</v>
      </c>
      <c r="BY55" s="475">
        <f>F55</f>
        <v>10751.247089999999</v>
      </c>
      <c r="BZ55" s="320">
        <f>M55+BM55+BQ55+BU55</f>
        <v>1240.8481899999999</v>
      </c>
      <c r="CA55" s="469">
        <f t="shared" si="21"/>
        <v>-9510.3988999999983</v>
      </c>
      <c r="CB55" s="476">
        <f t="shared" si="22"/>
        <v>0.11541434957384093</v>
      </c>
      <c r="CC55" s="72">
        <f t="shared" si="12"/>
        <v>-7697.2733899999994</v>
      </c>
      <c r="CD55" s="477">
        <f>CD56+CD59</f>
        <v>474.63818999999995</v>
      </c>
      <c r="CE55" s="185">
        <f>CE56+CE59</f>
        <v>766.20999999999992</v>
      </c>
      <c r="CF55" s="478"/>
      <c r="CG55" s="465"/>
      <c r="CH55" s="465"/>
      <c r="CI55" s="465"/>
      <c r="CJ55" s="465"/>
      <c r="CK55" s="465"/>
      <c r="CL55" s="465"/>
      <c r="CM55" s="466"/>
      <c r="CN55" s="466"/>
      <c r="CO55" s="466"/>
      <c r="CP55" s="466"/>
      <c r="CQ55" s="466"/>
      <c r="CR55" s="466"/>
      <c r="CS55" s="466"/>
      <c r="CT55" s="466"/>
      <c r="CU55" s="466"/>
      <c r="CV55" s="466"/>
      <c r="CW55" s="466"/>
      <c r="CX55" s="466"/>
      <c r="CY55" s="466"/>
      <c r="CZ55" s="466"/>
      <c r="DA55" s="179">
        <f>DA56+DA59</f>
        <v>8938.1215799999991</v>
      </c>
      <c r="DB55" s="179">
        <f>DB56+DB59</f>
        <v>10992.11175</v>
      </c>
      <c r="DC55" s="179">
        <f>SUM(DC56,DC59)</f>
        <v>12869.71797</v>
      </c>
      <c r="DD55" s="179">
        <f>SUM(DD56,DD59)</f>
        <v>12869.71797</v>
      </c>
      <c r="DE55" s="179">
        <f>SUM(DE56,DE59)</f>
        <v>12872.193669999999</v>
      </c>
      <c r="DF55" s="179">
        <v>5496.06</v>
      </c>
      <c r="DG55" s="179">
        <v>5496.05</v>
      </c>
      <c r="DI55" s="826"/>
      <c r="DJ55" s="788"/>
    </row>
    <row r="56" spans="1:114" s="783" customFormat="1">
      <c r="A56" s="177"/>
      <c r="B56" s="187" t="s">
        <v>3</v>
      </c>
      <c r="C56" s="837" t="s">
        <v>54</v>
      </c>
      <c r="D56" s="31">
        <v>7429.86</v>
      </c>
      <c r="E56" s="31">
        <v>7429.86</v>
      </c>
      <c r="F56" s="31">
        <f>7429.86+1507.17</f>
        <v>8937.0299999999988</v>
      </c>
      <c r="G56" s="31">
        <v>9137.25</v>
      </c>
      <c r="H56" s="134">
        <v>4020</v>
      </c>
      <c r="I56" s="134">
        <v>1987.56</v>
      </c>
      <c r="J56" s="134">
        <v>516.76</v>
      </c>
      <c r="K56" s="134">
        <v>1470.8</v>
      </c>
      <c r="L56" s="134">
        <f>G56/12</f>
        <v>761.4375</v>
      </c>
      <c r="M56" s="134">
        <v>541.36392999999998</v>
      </c>
      <c r="N56" s="134">
        <v>278.95</v>
      </c>
      <c r="O56" s="134">
        <v>312.91000000000003</v>
      </c>
      <c r="P56" s="134">
        <v>56.05</v>
      </c>
      <c r="Q56" s="134">
        <v>86.94</v>
      </c>
      <c r="R56" s="134">
        <v>165.63</v>
      </c>
      <c r="S56" s="134">
        <v>130.36000000000001</v>
      </c>
      <c r="T56" s="134">
        <f>K56/12</f>
        <v>122.56666666666666</v>
      </c>
      <c r="U56" s="134"/>
      <c r="V56" s="134">
        <v>11.15</v>
      </c>
      <c r="W56" s="134"/>
      <c r="X56" s="51">
        <f t="shared" si="13"/>
        <v>33.960000000000036</v>
      </c>
      <c r="Y56" s="188">
        <f t="shared" si="14"/>
        <v>1.1217422477146444</v>
      </c>
      <c r="Z56" s="134">
        <v>500.63</v>
      </c>
      <c r="AA56" s="134">
        <v>491.62250999999998</v>
      </c>
      <c r="AB56" s="134">
        <v>335</v>
      </c>
      <c r="AC56" s="134"/>
      <c r="AD56" s="134">
        <v>43.063533300000003</v>
      </c>
      <c r="AE56" s="134"/>
      <c r="AF56" s="134">
        <v>122.57</v>
      </c>
      <c r="AG56" s="134"/>
      <c r="AH56" s="134"/>
      <c r="AI56" s="134"/>
      <c r="AJ56" s="51">
        <f t="shared" si="15"/>
        <v>-335</v>
      </c>
      <c r="AK56" s="189">
        <f t="shared" si="16"/>
        <v>0</v>
      </c>
      <c r="AL56" s="134">
        <v>500.63</v>
      </c>
      <c r="AM56" s="134">
        <v>491.62250999999998</v>
      </c>
      <c r="AN56" s="134">
        <v>335</v>
      </c>
      <c r="AO56" s="134"/>
      <c r="AP56" s="134">
        <v>43.063533300000003</v>
      </c>
      <c r="AQ56" s="134"/>
      <c r="AR56" s="134">
        <v>122.57</v>
      </c>
      <c r="AS56" s="134"/>
      <c r="AT56" s="134"/>
      <c r="AU56" s="134"/>
      <c r="AV56" s="51">
        <f t="shared" si="17"/>
        <v>-335</v>
      </c>
      <c r="AW56" s="189">
        <f t="shared" si="18"/>
        <v>0</v>
      </c>
      <c r="AX56" s="31">
        <f>G56/2</f>
        <v>4568.625</v>
      </c>
      <c r="AY56" s="31">
        <v>7636.61</v>
      </c>
      <c r="AZ56" s="109"/>
      <c r="BA56" s="62">
        <v>3440.71</v>
      </c>
      <c r="BB56" s="62"/>
      <c r="BC56" s="62">
        <v>2711.45</v>
      </c>
      <c r="BD56" s="62"/>
      <c r="BE56" s="110">
        <v>874</v>
      </c>
      <c r="BF56" s="109">
        <v>240.04</v>
      </c>
      <c r="BG56" s="62">
        <v>345.12</v>
      </c>
      <c r="BH56" s="62"/>
      <c r="BI56" s="110"/>
      <c r="BJ56" s="426">
        <f t="shared" si="19"/>
        <v>3440.71</v>
      </c>
      <c r="BK56" s="467" t="e">
        <f t="shared" si="20"/>
        <v>#DIV/0!</v>
      </c>
      <c r="BL56" s="428"/>
      <c r="BM56" s="61">
        <v>491.62250999999998</v>
      </c>
      <c r="BN56" s="62"/>
      <c r="BO56" s="429"/>
      <c r="BP56" s="64"/>
      <c r="BQ56" s="61"/>
      <c r="BR56" s="479"/>
      <c r="BS56" s="66"/>
      <c r="BT56" s="64"/>
      <c r="BU56" s="61"/>
      <c r="BV56" s="479"/>
      <c r="BW56" s="66"/>
      <c r="BX56" s="431"/>
      <c r="BY56" s="68">
        <f>L56+BL56+BP56+BT56</f>
        <v>761.4375</v>
      </c>
      <c r="BZ56" s="69">
        <f>M56+BM56+BQ56+BU56</f>
        <v>1032.9864399999999</v>
      </c>
      <c r="CA56" s="61">
        <f t="shared" si="21"/>
        <v>271.5489399999999</v>
      </c>
      <c r="CB56" s="71">
        <f t="shared" si="22"/>
        <v>1.3566266962160387</v>
      </c>
      <c r="CC56" s="72">
        <f t="shared" si="12"/>
        <v>-6396.87356</v>
      </c>
      <c r="CD56" s="434">
        <f>BZ56-CE56</f>
        <v>396.06643999999994</v>
      </c>
      <c r="CE56" s="62">
        <v>636.91999999999996</v>
      </c>
      <c r="CF56" s="73"/>
      <c r="CG56" s="74"/>
      <c r="CH56" s="74"/>
      <c r="CI56" s="74"/>
      <c r="CJ56" s="74"/>
      <c r="CK56" s="74"/>
      <c r="CL56" s="74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31">
        <v>7429.86</v>
      </c>
      <c r="DB56" s="31">
        <v>9137.25</v>
      </c>
      <c r="DC56" s="31">
        <v>9876.99</v>
      </c>
      <c r="DD56" s="31">
        <v>9876.99</v>
      </c>
      <c r="DE56" s="31">
        <v>9878.89</v>
      </c>
      <c r="DF56" s="31">
        <v>4568.63</v>
      </c>
      <c r="DG56" s="134">
        <v>4568.62</v>
      </c>
      <c r="DH56" s="835"/>
      <c r="DI56" s="826"/>
      <c r="DJ56" s="788"/>
    </row>
    <row r="57" spans="1:114" s="783" customFormat="1">
      <c r="A57" s="177"/>
      <c r="B57" s="190" t="s">
        <v>38</v>
      </c>
      <c r="C57" s="837" t="s">
        <v>82</v>
      </c>
      <c r="D57" s="31">
        <v>29.5</v>
      </c>
      <c r="E57" s="31">
        <v>29.5</v>
      </c>
      <c r="F57" s="31">
        <v>31.5</v>
      </c>
      <c r="G57" s="31">
        <v>31.5</v>
      </c>
      <c r="H57" s="134">
        <v>18</v>
      </c>
      <c r="I57" s="134">
        <v>9.5</v>
      </c>
      <c r="J57" s="134">
        <v>2.5</v>
      </c>
      <c r="K57" s="134">
        <v>7</v>
      </c>
      <c r="L57" s="134">
        <v>27.5</v>
      </c>
      <c r="M57" s="134">
        <v>24.5</v>
      </c>
      <c r="N57" s="134">
        <v>18</v>
      </c>
      <c r="O57" s="134">
        <v>3</v>
      </c>
      <c r="P57" s="134"/>
      <c r="Q57" s="134">
        <v>3</v>
      </c>
      <c r="R57" s="134">
        <v>2.5</v>
      </c>
      <c r="S57" s="134">
        <v>1</v>
      </c>
      <c r="T57" s="134">
        <v>7</v>
      </c>
      <c r="U57" s="134"/>
      <c r="V57" s="134"/>
      <c r="W57" s="134"/>
      <c r="X57" s="51">
        <f t="shared" si="13"/>
        <v>-15</v>
      </c>
      <c r="Y57" s="188">
        <f t="shared" si="14"/>
        <v>0.16666666666666666</v>
      </c>
      <c r="Z57" s="134">
        <v>27.5</v>
      </c>
      <c r="AA57" s="134">
        <v>23.5</v>
      </c>
      <c r="AB57" s="134">
        <v>18</v>
      </c>
      <c r="AC57" s="134"/>
      <c r="AD57" s="134">
        <v>2.5</v>
      </c>
      <c r="AE57" s="134"/>
      <c r="AF57" s="134">
        <v>7</v>
      </c>
      <c r="AG57" s="134"/>
      <c r="AH57" s="134"/>
      <c r="AI57" s="134"/>
      <c r="AJ57" s="51">
        <f t="shared" si="15"/>
        <v>-18</v>
      </c>
      <c r="AK57" s="189">
        <f t="shared" si="16"/>
        <v>0</v>
      </c>
      <c r="AL57" s="134">
        <v>27.5</v>
      </c>
      <c r="AM57" s="134">
        <v>23.5</v>
      </c>
      <c r="AN57" s="134">
        <v>18</v>
      </c>
      <c r="AO57" s="134"/>
      <c r="AP57" s="134">
        <v>2.5</v>
      </c>
      <c r="AQ57" s="134"/>
      <c r="AR57" s="134">
        <v>7</v>
      </c>
      <c r="AS57" s="134"/>
      <c r="AT57" s="134"/>
      <c r="AU57" s="134"/>
      <c r="AV57" s="51">
        <f t="shared" si="17"/>
        <v>-18</v>
      </c>
      <c r="AW57" s="189">
        <f t="shared" si="18"/>
        <v>0</v>
      </c>
      <c r="AX57" s="31">
        <v>27.5</v>
      </c>
      <c r="AY57" s="31">
        <v>29</v>
      </c>
      <c r="AZ57" s="109"/>
      <c r="BA57" s="62"/>
      <c r="BB57" s="62"/>
      <c r="BC57" s="62"/>
      <c r="BD57" s="62"/>
      <c r="BE57" s="110"/>
      <c r="BF57" s="109"/>
      <c r="BG57" s="62"/>
      <c r="BH57" s="62"/>
      <c r="BI57" s="110"/>
      <c r="BJ57" s="426">
        <f t="shared" si="19"/>
        <v>0</v>
      </c>
      <c r="BK57" s="467" t="e">
        <f t="shared" si="20"/>
        <v>#DIV/0!</v>
      </c>
      <c r="BL57" s="428"/>
      <c r="BM57" s="61">
        <v>23.5</v>
      </c>
      <c r="BN57" s="62"/>
      <c r="BO57" s="429"/>
      <c r="BP57" s="64"/>
      <c r="BQ57" s="61"/>
      <c r="BR57" s="479"/>
      <c r="BS57" s="66"/>
      <c r="BT57" s="64"/>
      <c r="BU57" s="61"/>
      <c r="BV57" s="479"/>
      <c r="BW57" s="66"/>
      <c r="BX57" s="480">
        <v>25</v>
      </c>
      <c r="BY57" s="68">
        <f>F57</f>
        <v>31.5</v>
      </c>
      <c r="BZ57" s="69">
        <f>(M57+BM57+BQ57+BU57)/4</f>
        <v>12</v>
      </c>
      <c r="CA57" s="61">
        <f t="shared" si="21"/>
        <v>-19.5</v>
      </c>
      <c r="CB57" s="71">
        <f t="shared" si="22"/>
        <v>0.38095238095238093</v>
      </c>
      <c r="CC57" s="72">
        <f t="shared" si="12"/>
        <v>-17.5</v>
      </c>
      <c r="CD57" s="434">
        <v>21</v>
      </c>
      <c r="CE57" s="62">
        <v>2.5</v>
      </c>
      <c r="CF57" s="73"/>
      <c r="CG57" s="74"/>
      <c r="CH57" s="74"/>
      <c r="CI57" s="74"/>
      <c r="CJ57" s="74"/>
      <c r="CK57" s="74"/>
      <c r="CL57" s="74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31">
        <v>29.5</v>
      </c>
      <c r="DB57" s="31">
        <v>31.5</v>
      </c>
      <c r="DC57" s="31">
        <v>33.5</v>
      </c>
      <c r="DD57" s="31">
        <v>33.5</v>
      </c>
      <c r="DE57" s="31">
        <v>33.5</v>
      </c>
      <c r="DF57" s="31">
        <v>31.5</v>
      </c>
      <c r="DG57" s="31">
        <v>31.5</v>
      </c>
      <c r="DI57" s="826"/>
      <c r="DJ57" s="788"/>
    </row>
    <row r="58" spans="1:114" s="783" customFormat="1">
      <c r="A58" s="177"/>
      <c r="B58" s="190" t="s">
        <v>39</v>
      </c>
      <c r="C58" s="837" t="s">
        <v>83</v>
      </c>
      <c r="D58" s="31">
        <f t="shared" ref="D58:K58" si="27">D56/D57/12*1000</f>
        <v>20988.30508474576</v>
      </c>
      <c r="E58" s="31">
        <f t="shared" si="27"/>
        <v>20988.30508474576</v>
      </c>
      <c r="F58" s="31">
        <f t="shared" si="27"/>
        <v>23642.936507936509</v>
      </c>
      <c r="G58" s="31">
        <f t="shared" si="27"/>
        <v>24172.619047619046</v>
      </c>
      <c r="H58" s="134">
        <f t="shared" si="27"/>
        <v>18611.111111111109</v>
      </c>
      <c r="I58" s="134">
        <f t="shared" si="27"/>
        <v>17434.736842105263</v>
      </c>
      <c r="J58" s="134">
        <f t="shared" si="27"/>
        <v>17225.333333333336</v>
      </c>
      <c r="K58" s="134">
        <f t="shared" si="27"/>
        <v>17509.523809523809</v>
      </c>
      <c r="L58" s="134">
        <f t="shared" ref="L58:U58" si="28">L56/L57*1000</f>
        <v>27688.636363636364</v>
      </c>
      <c r="M58" s="134">
        <f t="shared" si="28"/>
        <v>22096.48693877551</v>
      </c>
      <c r="N58" s="134">
        <f t="shared" si="28"/>
        <v>15497.222222222223</v>
      </c>
      <c r="O58" s="134">
        <f t="shared" si="28"/>
        <v>104303.33333333334</v>
      </c>
      <c r="P58" s="134"/>
      <c r="Q58" s="134">
        <f>Q56/Q57*1000</f>
        <v>28980</v>
      </c>
      <c r="R58" s="134">
        <f t="shared" si="28"/>
        <v>66252</v>
      </c>
      <c r="S58" s="134">
        <f t="shared" si="28"/>
        <v>130360.00000000001</v>
      </c>
      <c r="T58" s="134">
        <f t="shared" si="28"/>
        <v>17509.523809523809</v>
      </c>
      <c r="U58" s="134" t="e">
        <f t="shared" si="28"/>
        <v>#DIV/0!</v>
      </c>
      <c r="V58" s="134"/>
      <c r="W58" s="134"/>
      <c r="X58" s="51">
        <f t="shared" si="13"/>
        <v>88806.111111111124</v>
      </c>
      <c r="Y58" s="188">
        <f t="shared" si="14"/>
        <v>6.7304534862878658</v>
      </c>
      <c r="Z58" s="134">
        <f t="shared" ref="Z58:AG58" si="29">Z56/Z57*1000</f>
        <v>18204.727272727272</v>
      </c>
      <c r="AA58" s="134">
        <f t="shared" si="29"/>
        <v>20920.106808510638</v>
      </c>
      <c r="AB58" s="134">
        <f t="shared" si="29"/>
        <v>18611.111111111109</v>
      </c>
      <c r="AC58" s="134" t="e">
        <f t="shared" si="29"/>
        <v>#DIV/0!</v>
      </c>
      <c r="AD58" s="134">
        <f t="shared" si="29"/>
        <v>17225.41332</v>
      </c>
      <c r="AE58" s="134" t="e">
        <f t="shared" si="29"/>
        <v>#DIV/0!</v>
      </c>
      <c r="AF58" s="134">
        <f t="shared" si="29"/>
        <v>17509.999999999996</v>
      </c>
      <c r="AG58" s="134" t="e">
        <f t="shared" si="29"/>
        <v>#DIV/0!</v>
      </c>
      <c r="AH58" s="134"/>
      <c r="AI58" s="134"/>
      <c r="AJ58" s="51" t="e">
        <f t="shared" si="15"/>
        <v>#DIV/0!</v>
      </c>
      <c r="AK58" s="189" t="e">
        <f t="shared" si="16"/>
        <v>#DIV/0!</v>
      </c>
      <c r="AL58" s="134">
        <f t="shared" ref="AL58:AS58" si="30">AL56/AL57*1000</f>
        <v>18204.727272727272</v>
      </c>
      <c r="AM58" s="134">
        <f t="shared" si="30"/>
        <v>20920.106808510638</v>
      </c>
      <c r="AN58" s="134">
        <f t="shared" si="30"/>
        <v>18611.111111111109</v>
      </c>
      <c r="AO58" s="134" t="e">
        <f t="shared" si="30"/>
        <v>#DIV/0!</v>
      </c>
      <c r="AP58" s="134">
        <f t="shared" si="30"/>
        <v>17225.41332</v>
      </c>
      <c r="AQ58" s="134" t="e">
        <f t="shared" si="30"/>
        <v>#DIV/0!</v>
      </c>
      <c r="AR58" s="134">
        <f t="shared" si="30"/>
        <v>17509.999999999996</v>
      </c>
      <c r="AS58" s="134" t="e">
        <f t="shared" si="30"/>
        <v>#DIV/0!</v>
      </c>
      <c r="AT58" s="134"/>
      <c r="AU58" s="134"/>
      <c r="AV58" s="51" t="e">
        <f t="shared" si="17"/>
        <v>#DIV/0!</v>
      </c>
      <c r="AW58" s="189" t="e">
        <f t="shared" si="18"/>
        <v>#DIV/0!</v>
      </c>
      <c r="AX58" s="31">
        <f>AX56/AX57/6*1000</f>
        <v>27688.636363636364</v>
      </c>
      <c r="AY58" s="31">
        <f>AY56/AY57/12*1000</f>
        <v>21944.281609195401</v>
      </c>
      <c r="AZ58" s="109" t="e">
        <f>AZ56/AZ57/3*1000</f>
        <v>#DIV/0!</v>
      </c>
      <c r="BA58" s="62"/>
      <c r="BB58" s="62"/>
      <c r="BC58" s="62"/>
      <c r="BD58" s="62"/>
      <c r="BE58" s="110"/>
      <c r="BF58" s="109"/>
      <c r="BG58" s="62"/>
      <c r="BH58" s="62"/>
      <c r="BI58" s="110"/>
      <c r="BJ58" s="426" t="e">
        <f t="shared" si="19"/>
        <v>#DIV/0!</v>
      </c>
      <c r="BK58" s="467" t="e">
        <f t="shared" si="20"/>
        <v>#DIV/0!</v>
      </c>
      <c r="BL58" s="428"/>
      <c r="BM58" s="61">
        <f>BM56/BM57*1000</f>
        <v>20920.106808510638</v>
      </c>
      <c r="BN58" s="62"/>
      <c r="BO58" s="429"/>
      <c r="BP58" s="64"/>
      <c r="BQ58" s="61"/>
      <c r="BR58" s="479"/>
      <c r="BS58" s="66"/>
      <c r="BT58" s="64"/>
      <c r="BU58" s="61"/>
      <c r="BV58" s="479"/>
      <c r="BW58" s="66"/>
      <c r="BX58" s="431">
        <v>19642.13</v>
      </c>
      <c r="BY58" s="68">
        <f>F58</f>
        <v>23642.936507936509</v>
      </c>
      <c r="BZ58" s="69">
        <f>(M58+BM58+BQ58+BU58)/4</f>
        <v>10754.148436821537</v>
      </c>
      <c r="CA58" s="61">
        <f t="shared" si="21"/>
        <v>-12888.788071114972</v>
      </c>
      <c r="CB58" s="71">
        <f t="shared" si="22"/>
        <v>0.45485671516359916</v>
      </c>
      <c r="CC58" s="72">
        <f t="shared" si="12"/>
        <v>-10234.156647924223</v>
      </c>
      <c r="CD58" s="434">
        <f>CD56/CD57/12*1000</f>
        <v>1571.6922222222217</v>
      </c>
      <c r="CE58" s="62">
        <f>CE56/CE57/12*1000</f>
        <v>21230.666666666664</v>
      </c>
      <c r="CF58" s="73"/>
      <c r="CG58" s="74"/>
      <c r="CH58" s="74"/>
      <c r="CI58" s="74"/>
      <c r="CJ58" s="74"/>
      <c r="CK58" s="74"/>
      <c r="CL58" s="74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31">
        <f>DA56/DA57/12*1000</f>
        <v>20988.30508474576</v>
      </c>
      <c r="DB58" s="31">
        <f>DB56/DB57/12*1000</f>
        <v>24172.619047619046</v>
      </c>
      <c r="DC58" s="31">
        <f>DC56/DC57/12*1000</f>
        <v>24569.626865671642</v>
      </c>
      <c r="DD58" s="31">
        <f>DD56/DD57/12*1000</f>
        <v>24569.626865671642</v>
      </c>
      <c r="DE58" s="31">
        <f>DE56/DE57/12*1000</f>
        <v>24574.353233830843</v>
      </c>
      <c r="DF58" s="31">
        <v>24172.62</v>
      </c>
      <c r="DG58" s="31">
        <v>24172.62</v>
      </c>
      <c r="DI58" s="826"/>
      <c r="DJ58" s="788"/>
    </row>
    <row r="59" spans="1:114" s="783" customFormat="1" ht="21.75" customHeight="1">
      <c r="A59" s="177"/>
      <c r="B59" s="187" t="s">
        <v>347</v>
      </c>
      <c r="C59" s="837" t="s">
        <v>54</v>
      </c>
      <c r="D59" s="31">
        <f>D56*20.3/100</f>
        <v>1508.2615799999999</v>
      </c>
      <c r="E59" s="31">
        <f>E56*20.3/100</f>
        <v>1508.2615799999999</v>
      </c>
      <c r="F59" s="31">
        <f>F56*20.3/100</f>
        <v>1814.2170899999996</v>
      </c>
      <c r="G59" s="31">
        <f>G56*20.3/100</f>
        <v>1854.8617500000003</v>
      </c>
      <c r="H59" s="134">
        <v>816.06</v>
      </c>
      <c r="I59" s="134">
        <v>403.47</v>
      </c>
      <c r="J59" s="134">
        <v>104.9</v>
      </c>
      <c r="K59" s="134">
        <v>298.57</v>
      </c>
      <c r="L59" s="134">
        <f>G59/12</f>
        <v>154.57181250000002</v>
      </c>
      <c r="M59" s="134">
        <v>109.89687000000001</v>
      </c>
      <c r="N59" s="134">
        <v>56.63</v>
      </c>
      <c r="O59" s="134">
        <v>63.53</v>
      </c>
      <c r="P59" s="134">
        <v>11.38</v>
      </c>
      <c r="Q59" s="134">
        <v>17.649999999999999</v>
      </c>
      <c r="R59" s="134">
        <v>33.619999999999997</v>
      </c>
      <c r="S59" s="134">
        <v>26.46</v>
      </c>
      <c r="T59" s="134">
        <f>K59/12</f>
        <v>24.880833333333332</v>
      </c>
      <c r="U59" s="134"/>
      <c r="V59" s="134">
        <v>2.2599999999999998</v>
      </c>
      <c r="W59" s="134"/>
      <c r="X59" s="51">
        <f t="shared" si="13"/>
        <v>6.8999999999999986</v>
      </c>
      <c r="Y59" s="188">
        <f t="shared" si="14"/>
        <v>1.1218435458237683</v>
      </c>
      <c r="Z59" s="134">
        <v>101.63</v>
      </c>
      <c r="AA59" s="134">
        <v>99.433999999999997</v>
      </c>
      <c r="AB59" s="134">
        <v>68.010000000000005</v>
      </c>
      <c r="AC59" s="134"/>
      <c r="AD59" s="134">
        <v>8.7416666666600005</v>
      </c>
      <c r="AE59" s="134"/>
      <c r="AF59" s="134">
        <v>24.88</v>
      </c>
      <c r="AG59" s="134"/>
      <c r="AH59" s="134"/>
      <c r="AI59" s="134"/>
      <c r="AJ59" s="51">
        <f t="shared" si="15"/>
        <v>-68.010000000000005</v>
      </c>
      <c r="AK59" s="189">
        <f t="shared" si="16"/>
        <v>0</v>
      </c>
      <c r="AL59" s="134">
        <v>101.63</v>
      </c>
      <c r="AM59" s="134">
        <v>99.433999999999997</v>
      </c>
      <c r="AN59" s="134">
        <v>68.010000000000005</v>
      </c>
      <c r="AO59" s="134"/>
      <c r="AP59" s="134">
        <v>8.7416666666600005</v>
      </c>
      <c r="AQ59" s="134"/>
      <c r="AR59" s="134">
        <v>24.88</v>
      </c>
      <c r="AS59" s="134"/>
      <c r="AT59" s="134"/>
      <c r="AU59" s="134"/>
      <c r="AV59" s="51">
        <f t="shared" si="17"/>
        <v>-68.010000000000005</v>
      </c>
      <c r="AW59" s="189">
        <f t="shared" si="18"/>
        <v>0</v>
      </c>
      <c r="AX59" s="31">
        <f>G59/2</f>
        <v>927.43087500000013</v>
      </c>
      <c r="AY59" s="31">
        <v>1550.24</v>
      </c>
      <c r="AZ59" s="109"/>
      <c r="BA59" s="62">
        <v>698.96</v>
      </c>
      <c r="BB59" s="62">
        <f t="shared" ref="BB59:BG59" si="31">BB56*20.3/100</f>
        <v>0</v>
      </c>
      <c r="BC59" s="62">
        <v>550.41999999999996</v>
      </c>
      <c r="BD59" s="62">
        <f t="shared" si="31"/>
        <v>0</v>
      </c>
      <c r="BE59" s="110">
        <v>177.42</v>
      </c>
      <c r="BF59" s="109">
        <f t="shared" si="31"/>
        <v>48.728119999999997</v>
      </c>
      <c r="BG59" s="62">
        <f t="shared" si="31"/>
        <v>70.059360000000012</v>
      </c>
      <c r="BH59" s="62"/>
      <c r="BI59" s="110"/>
      <c r="BJ59" s="426">
        <f t="shared" si="19"/>
        <v>698.96</v>
      </c>
      <c r="BK59" s="467" t="e">
        <f t="shared" si="20"/>
        <v>#DIV/0!</v>
      </c>
      <c r="BL59" s="428"/>
      <c r="BM59" s="61">
        <v>97.964879999999994</v>
      </c>
      <c r="BN59" s="62"/>
      <c r="BO59" s="429"/>
      <c r="BP59" s="64"/>
      <c r="BQ59" s="61"/>
      <c r="BR59" s="479"/>
      <c r="BS59" s="66"/>
      <c r="BT59" s="64"/>
      <c r="BU59" s="61"/>
      <c r="BV59" s="479"/>
      <c r="BW59" s="66"/>
      <c r="BX59" s="431"/>
      <c r="BY59" s="68">
        <f>F59</f>
        <v>1814.2170899999996</v>
      </c>
      <c r="BZ59" s="69">
        <f>M59+BM59+BQ59+BU59</f>
        <v>207.86175</v>
      </c>
      <c r="CA59" s="61">
        <f t="shared" si="21"/>
        <v>-1606.3553399999996</v>
      </c>
      <c r="CB59" s="71">
        <f t="shared" si="22"/>
        <v>0.11457380219034319</v>
      </c>
      <c r="CC59" s="72">
        <f t="shared" si="12"/>
        <v>-1300.3998299999998</v>
      </c>
      <c r="CD59" s="434">
        <f>BZ59-CE59</f>
        <v>78.571750000000009</v>
      </c>
      <c r="CE59" s="62">
        <v>129.29</v>
      </c>
      <c r="CF59" s="73"/>
      <c r="CG59" s="74"/>
      <c r="CH59" s="74"/>
      <c r="CI59" s="74"/>
      <c r="CJ59" s="74"/>
      <c r="CK59" s="74"/>
      <c r="CL59" s="74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31">
        <f t="shared" ref="DA59:DG59" si="32">DA56*20.3/100</f>
        <v>1508.2615799999999</v>
      </c>
      <c r="DB59" s="31">
        <f t="shared" si="32"/>
        <v>1854.8617500000003</v>
      </c>
      <c r="DC59" s="31">
        <f>DC56*30.3/100</f>
        <v>2992.7279700000004</v>
      </c>
      <c r="DD59" s="31">
        <f>DD56*30.3/100</f>
        <v>2992.7279700000004</v>
      </c>
      <c r="DE59" s="31">
        <f>DE56*30.3/100</f>
        <v>2993.3036699999998</v>
      </c>
      <c r="DF59" s="31">
        <f t="shared" si="32"/>
        <v>927.43188999999995</v>
      </c>
      <c r="DG59" s="31">
        <f t="shared" si="32"/>
        <v>927.42986000000008</v>
      </c>
      <c r="DI59" s="826"/>
      <c r="DJ59" s="788"/>
    </row>
    <row r="60" spans="1:114" s="783" customFormat="1" ht="24" customHeight="1">
      <c r="A60" s="177" t="s">
        <v>253</v>
      </c>
      <c r="B60" s="178" t="s">
        <v>5</v>
      </c>
      <c r="C60" s="834" t="s">
        <v>54</v>
      </c>
      <c r="D60" s="179">
        <f>SUM(D61:D69)</f>
        <v>1266.56</v>
      </c>
      <c r="E60" s="179">
        <v>1847.57</v>
      </c>
      <c r="F60" s="179">
        <f>SUM(F61:F69)</f>
        <v>1746.77</v>
      </c>
      <c r="G60" s="179">
        <v>1847.57</v>
      </c>
      <c r="H60" s="180">
        <f>SUM(H61:H69)</f>
        <v>66</v>
      </c>
      <c r="I60" s="180">
        <f>SUM(I61:I69)</f>
        <v>0</v>
      </c>
      <c r="J60" s="180">
        <f>SUM(J61:J69)</f>
        <v>0</v>
      </c>
      <c r="K60" s="180">
        <f>SUM(K61:K69)</f>
        <v>0</v>
      </c>
      <c r="L60" s="180">
        <f>G60/12</f>
        <v>153.96416666666667</v>
      </c>
      <c r="M60" s="180">
        <f>SUM(M61:M69)</f>
        <v>5.5</v>
      </c>
      <c r="N60" s="180">
        <v>34.83</v>
      </c>
      <c r="O60" s="180">
        <v>44.24</v>
      </c>
      <c r="P60" s="180">
        <v>7</v>
      </c>
      <c r="Q60" s="180">
        <v>0</v>
      </c>
      <c r="R60" s="180">
        <v>44.5</v>
      </c>
      <c r="S60" s="180">
        <v>22.12</v>
      </c>
      <c r="T60" s="180">
        <f>SUM(T61:T69)</f>
        <v>0</v>
      </c>
      <c r="U60" s="180">
        <f>SUM(U61:U69)</f>
        <v>0</v>
      </c>
      <c r="V60" s="180">
        <v>0</v>
      </c>
      <c r="W60" s="180"/>
      <c r="X60" s="181">
        <f>O60-N60</f>
        <v>9.4100000000000037</v>
      </c>
      <c r="Y60" s="191">
        <f>O60/N60</f>
        <v>1.270169394200402</v>
      </c>
      <c r="Z60" s="180">
        <f t="shared" ref="Z60:AH60" si="33">SUM(Z61:Z69)</f>
        <v>5.5</v>
      </c>
      <c r="AA60" s="180">
        <f t="shared" si="33"/>
        <v>5.5</v>
      </c>
      <c r="AB60" s="180">
        <f t="shared" si="33"/>
        <v>5.5</v>
      </c>
      <c r="AC60" s="180">
        <f t="shared" si="33"/>
        <v>0</v>
      </c>
      <c r="AD60" s="180">
        <f t="shared" si="33"/>
        <v>0</v>
      </c>
      <c r="AE60" s="180">
        <f t="shared" si="33"/>
        <v>0</v>
      </c>
      <c r="AF60" s="180">
        <f t="shared" si="33"/>
        <v>0</v>
      </c>
      <c r="AG60" s="180">
        <f t="shared" si="33"/>
        <v>0</v>
      </c>
      <c r="AH60" s="180">
        <f t="shared" si="33"/>
        <v>0</v>
      </c>
      <c r="AI60" s="180"/>
      <c r="AJ60" s="181">
        <f>AC60-AB60</f>
        <v>-5.5</v>
      </c>
      <c r="AK60" s="192">
        <f>AC60/AB60</f>
        <v>0</v>
      </c>
      <c r="AL60" s="180">
        <f t="shared" ref="AL60:AT60" si="34">SUM(AL61:AL69)</f>
        <v>5.5</v>
      </c>
      <c r="AM60" s="180">
        <f t="shared" si="34"/>
        <v>5.5</v>
      </c>
      <c r="AN60" s="180">
        <f t="shared" si="34"/>
        <v>5.5</v>
      </c>
      <c r="AO60" s="180">
        <f t="shared" si="34"/>
        <v>0</v>
      </c>
      <c r="AP60" s="180">
        <f t="shared" si="34"/>
        <v>0</v>
      </c>
      <c r="AQ60" s="180">
        <f t="shared" si="34"/>
        <v>0</v>
      </c>
      <c r="AR60" s="180">
        <f t="shared" si="34"/>
        <v>0</v>
      </c>
      <c r="AS60" s="180">
        <f t="shared" si="34"/>
        <v>0</v>
      </c>
      <c r="AT60" s="180">
        <f t="shared" si="34"/>
        <v>0</v>
      </c>
      <c r="AU60" s="180"/>
      <c r="AV60" s="181">
        <f>AO60-AN60</f>
        <v>-5.5</v>
      </c>
      <c r="AW60" s="192">
        <f>AO60/AN60</f>
        <v>0</v>
      </c>
      <c r="AX60" s="179">
        <f>G60/2</f>
        <v>923.78499999999997</v>
      </c>
      <c r="AY60" s="179">
        <f t="shared" ref="AY60:BG60" si="35">SUM(AY61:AY69)</f>
        <v>1126.78</v>
      </c>
      <c r="AZ60" s="184">
        <f t="shared" si="35"/>
        <v>0</v>
      </c>
      <c r="BA60" s="185">
        <f t="shared" si="35"/>
        <v>930.56000000000006</v>
      </c>
      <c r="BB60" s="185">
        <f t="shared" si="35"/>
        <v>0</v>
      </c>
      <c r="BC60" s="185">
        <f t="shared" si="35"/>
        <v>447.97</v>
      </c>
      <c r="BD60" s="185">
        <f t="shared" si="35"/>
        <v>0</v>
      </c>
      <c r="BE60" s="186">
        <f t="shared" si="35"/>
        <v>0</v>
      </c>
      <c r="BF60" s="184">
        <f t="shared" si="35"/>
        <v>110.56999999999998</v>
      </c>
      <c r="BG60" s="185">
        <f t="shared" si="35"/>
        <v>108.83000000000001</v>
      </c>
      <c r="BH60" s="185"/>
      <c r="BI60" s="186"/>
      <c r="BJ60" s="426">
        <f t="shared" si="19"/>
        <v>930.56000000000006</v>
      </c>
      <c r="BK60" s="481" t="e">
        <f>BA60/AZ60</f>
        <v>#DIV/0!</v>
      </c>
      <c r="BL60" s="468"/>
      <c r="BM60" s="469">
        <f>SUM(BM61:BM69)</f>
        <v>5.5</v>
      </c>
      <c r="BN60" s="264"/>
      <c r="BO60" s="470"/>
      <c r="BP60" s="471"/>
      <c r="BQ60" s="469"/>
      <c r="BR60" s="472"/>
      <c r="BS60" s="473"/>
      <c r="BT60" s="471"/>
      <c r="BU60" s="469"/>
      <c r="BV60" s="472"/>
      <c r="BW60" s="473"/>
      <c r="BX60" s="474">
        <v>748.07</v>
      </c>
      <c r="BY60" s="475">
        <f>F60</f>
        <v>1746.77</v>
      </c>
      <c r="BZ60" s="320">
        <f>M60+BM60+BQ60+BU60</f>
        <v>11</v>
      </c>
      <c r="CA60" s="469">
        <f>BZ60-BY60</f>
        <v>-1735.77</v>
      </c>
      <c r="CB60" s="476">
        <f>BZ60/BY60</f>
        <v>6.2973373712623872E-3</v>
      </c>
      <c r="CC60" s="307">
        <f t="shared" si="12"/>
        <v>-1836.57</v>
      </c>
      <c r="CD60" s="477">
        <f>SUM(CD61:CD69)</f>
        <v>60</v>
      </c>
      <c r="CE60" s="185">
        <f>SUM(CE61:CE69)</f>
        <v>0</v>
      </c>
      <c r="CF60" s="478"/>
      <c r="CG60" s="465"/>
      <c r="CH60" s="465"/>
      <c r="CI60" s="465"/>
      <c r="CJ60" s="465"/>
      <c r="CK60" s="465"/>
      <c r="CL60" s="465"/>
      <c r="CM60" s="466"/>
      <c r="CN60" s="466"/>
      <c r="CO60" s="466"/>
      <c r="CP60" s="466"/>
      <c r="CQ60" s="466"/>
      <c r="CR60" s="466"/>
      <c r="CS60" s="466"/>
      <c r="CT60" s="466"/>
      <c r="CU60" s="466"/>
      <c r="CV60" s="466"/>
      <c r="CW60" s="466"/>
      <c r="CX60" s="466"/>
      <c r="CY60" s="466"/>
      <c r="CZ60" s="466"/>
      <c r="DA60" s="179">
        <f>SUM(DA61:DA69)</f>
        <v>1746.77</v>
      </c>
      <c r="DB60" s="179">
        <f>SUM(DB61:DB69)</f>
        <v>1746.77</v>
      </c>
      <c r="DC60" s="179">
        <v>560.33000000000004</v>
      </c>
      <c r="DD60" s="861">
        <v>560.33000000000004</v>
      </c>
      <c r="DE60" s="861">
        <v>560.33000000000004</v>
      </c>
      <c r="DF60" s="179">
        <f>SUM(DF61:DF69)</f>
        <v>873.3900000000001</v>
      </c>
      <c r="DG60" s="179">
        <f>SUM(DG61:DG69)</f>
        <v>873.38000000000011</v>
      </c>
      <c r="DI60" s="826"/>
      <c r="DJ60" s="788"/>
    </row>
    <row r="61" spans="1:114" s="783" customFormat="1" hidden="1">
      <c r="A61" s="47"/>
      <c r="B61" s="187" t="s">
        <v>176</v>
      </c>
      <c r="C61" s="836" t="s">
        <v>54</v>
      </c>
      <c r="D61" s="31">
        <v>201.05</v>
      </c>
      <c r="E61" s="31">
        <v>264.91000000000003</v>
      </c>
      <c r="F61" s="31">
        <v>264.91000000000003</v>
      </c>
      <c r="G61" s="31">
        <v>264.91000000000003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54"/>
      <c r="Y61" s="55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54"/>
      <c r="AK61" s="56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54"/>
      <c r="AW61" s="56"/>
      <c r="AX61" s="31"/>
      <c r="AY61" s="31">
        <v>437.43</v>
      </c>
      <c r="AZ61" s="109"/>
      <c r="BA61" s="62">
        <v>119.61</v>
      </c>
      <c r="BB61" s="62"/>
      <c r="BC61" s="62">
        <v>188.94</v>
      </c>
      <c r="BD61" s="62"/>
      <c r="BE61" s="110"/>
      <c r="BF61" s="109">
        <f>21.06+63.65-20+14.52</f>
        <v>79.22999999999999</v>
      </c>
      <c r="BG61" s="62">
        <f>93.33-12.13</f>
        <v>81.2</v>
      </c>
      <c r="BH61" s="62"/>
      <c r="BI61" s="110"/>
      <c r="BJ61" s="59"/>
      <c r="BK61" s="46"/>
      <c r="BL61" s="428"/>
      <c r="BM61" s="61"/>
      <c r="BN61" s="62"/>
      <c r="BO61" s="63"/>
      <c r="BP61" s="64"/>
      <c r="BQ61" s="61"/>
      <c r="BR61" s="65"/>
      <c r="BS61" s="66"/>
      <c r="BT61" s="64"/>
      <c r="BU61" s="61"/>
      <c r="BV61" s="65"/>
      <c r="BW61" s="66"/>
      <c r="BX61" s="431"/>
      <c r="BY61" s="68">
        <f>F61</f>
        <v>264.91000000000003</v>
      </c>
      <c r="BZ61" s="69"/>
      <c r="CA61" s="70"/>
      <c r="CB61" s="71"/>
      <c r="CC61" s="72"/>
      <c r="CD61" s="434"/>
      <c r="CE61" s="62"/>
      <c r="CF61" s="73"/>
      <c r="CG61" s="74"/>
      <c r="CH61" s="74"/>
      <c r="CI61" s="74"/>
      <c r="CJ61" s="74"/>
      <c r="CK61" s="74"/>
      <c r="CL61" s="74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31">
        <v>264.91000000000003</v>
      </c>
      <c r="DB61" s="31">
        <v>264.91000000000003</v>
      </c>
      <c r="DC61" s="31">
        <f>264.91-6-17.85</f>
        <v>241.06000000000003</v>
      </c>
      <c r="DD61" s="862">
        <f>264.91-6-17.85</f>
        <v>241.06000000000003</v>
      </c>
      <c r="DE61" s="31">
        <f>264.91-6-17.85</f>
        <v>241.06000000000003</v>
      </c>
      <c r="DF61" s="31">
        <v>120.53</v>
      </c>
      <c r="DG61" s="134">
        <f t="shared" ref="DG61:DG66" si="36">DF61</f>
        <v>120.53</v>
      </c>
      <c r="DI61" s="826"/>
      <c r="DJ61" s="788"/>
    </row>
    <row r="62" spans="1:114" s="783" customFormat="1" ht="24" hidden="1">
      <c r="A62" s="47"/>
      <c r="B62" s="187" t="s">
        <v>275</v>
      </c>
      <c r="C62" s="836" t="s">
        <v>54</v>
      </c>
      <c r="D62" s="31">
        <v>685.51</v>
      </c>
      <c r="E62" s="31">
        <v>607.58000000000004</v>
      </c>
      <c r="F62" s="31">
        <v>607.58000000000004</v>
      </c>
      <c r="G62" s="31">
        <v>607.58000000000004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51"/>
      <c r="Y62" s="55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51"/>
      <c r="AK62" s="56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51"/>
      <c r="AW62" s="56"/>
      <c r="AX62" s="31"/>
      <c r="AY62" s="31">
        <v>591</v>
      </c>
      <c r="AZ62" s="109"/>
      <c r="BA62" s="62">
        <v>381.73</v>
      </c>
      <c r="BB62" s="62"/>
      <c r="BC62" s="62">
        <v>246.3</v>
      </c>
      <c r="BD62" s="62"/>
      <c r="BE62" s="110"/>
      <c r="BF62" s="109">
        <v>29.04</v>
      </c>
      <c r="BG62" s="62"/>
      <c r="BH62" s="62"/>
      <c r="BI62" s="110"/>
      <c r="BJ62" s="59"/>
      <c r="BK62" s="46"/>
      <c r="BL62" s="428"/>
      <c r="BM62" s="61"/>
      <c r="BN62" s="62"/>
      <c r="BO62" s="63"/>
      <c r="BP62" s="64"/>
      <c r="BQ62" s="61"/>
      <c r="BR62" s="65"/>
      <c r="BS62" s="66"/>
      <c r="BT62" s="64"/>
      <c r="BU62" s="61"/>
      <c r="BV62" s="65"/>
      <c r="BW62" s="66"/>
      <c r="BX62" s="431"/>
      <c r="BY62" s="68"/>
      <c r="BZ62" s="69"/>
      <c r="CA62" s="70"/>
      <c r="CB62" s="71"/>
      <c r="CC62" s="72"/>
      <c r="CD62" s="434"/>
      <c r="CE62" s="62"/>
      <c r="CF62" s="73"/>
      <c r="CG62" s="74"/>
      <c r="CH62" s="74"/>
      <c r="CI62" s="74"/>
      <c r="CJ62" s="74"/>
      <c r="CK62" s="74"/>
      <c r="CL62" s="74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31">
        <v>607.58000000000004</v>
      </c>
      <c r="DB62" s="31">
        <v>607.58000000000004</v>
      </c>
      <c r="DC62" s="31">
        <v>607.58000000000004</v>
      </c>
      <c r="DD62" s="862">
        <v>596.4</v>
      </c>
      <c r="DE62" s="31">
        <v>607.58000000000004</v>
      </c>
      <c r="DF62" s="31">
        <v>303.79000000000002</v>
      </c>
      <c r="DG62" s="134">
        <f t="shared" si="36"/>
        <v>303.79000000000002</v>
      </c>
      <c r="DI62" s="826"/>
      <c r="DJ62" s="788"/>
    </row>
    <row r="63" spans="1:114" s="783" customFormat="1" hidden="1">
      <c r="A63" s="47"/>
      <c r="B63" s="187" t="s">
        <v>305</v>
      </c>
      <c r="C63" s="836" t="s">
        <v>54</v>
      </c>
      <c r="D63" s="31"/>
      <c r="E63" s="31"/>
      <c r="F63" s="31"/>
      <c r="G63" s="31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51"/>
      <c r="Y63" s="55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51"/>
      <c r="AK63" s="56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51"/>
      <c r="AW63" s="56"/>
      <c r="AX63" s="31"/>
      <c r="AY63" s="31">
        <v>6</v>
      </c>
      <c r="AZ63" s="109"/>
      <c r="BA63" s="62"/>
      <c r="BB63" s="62"/>
      <c r="BC63" s="62"/>
      <c r="BD63" s="62"/>
      <c r="BE63" s="110"/>
      <c r="BF63" s="109"/>
      <c r="BG63" s="62"/>
      <c r="BH63" s="62"/>
      <c r="BI63" s="110"/>
      <c r="BJ63" s="59"/>
      <c r="BK63" s="46"/>
      <c r="BL63" s="428"/>
      <c r="BM63" s="61"/>
      <c r="BN63" s="62"/>
      <c r="BO63" s="63"/>
      <c r="BP63" s="64"/>
      <c r="BQ63" s="61"/>
      <c r="BR63" s="65"/>
      <c r="BS63" s="66"/>
      <c r="BT63" s="64"/>
      <c r="BU63" s="61"/>
      <c r="BV63" s="65"/>
      <c r="BW63" s="66"/>
      <c r="BX63" s="431"/>
      <c r="BY63" s="68"/>
      <c r="BZ63" s="69"/>
      <c r="CA63" s="70"/>
      <c r="CB63" s="71"/>
      <c r="CC63" s="72"/>
      <c r="CD63" s="434"/>
      <c r="CE63" s="62"/>
      <c r="CF63" s="73"/>
      <c r="CG63" s="74"/>
      <c r="CH63" s="74"/>
      <c r="CI63" s="74"/>
      <c r="CJ63" s="74"/>
      <c r="CK63" s="74"/>
      <c r="CL63" s="74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31"/>
      <c r="DB63" s="31">
        <v>6</v>
      </c>
      <c r="DC63" s="31">
        <v>6</v>
      </c>
      <c r="DD63" s="862">
        <v>6</v>
      </c>
      <c r="DE63" s="31">
        <v>6</v>
      </c>
      <c r="DF63" s="31">
        <v>3</v>
      </c>
      <c r="DG63" s="134">
        <f t="shared" si="36"/>
        <v>3</v>
      </c>
      <c r="DI63" s="826"/>
      <c r="DJ63" s="788"/>
    </row>
    <row r="64" spans="1:114" s="783" customFormat="1" hidden="1">
      <c r="A64" s="47"/>
      <c r="B64" s="187" t="s">
        <v>306</v>
      </c>
      <c r="C64" s="836" t="s">
        <v>54</v>
      </c>
      <c r="D64" s="31"/>
      <c r="E64" s="31"/>
      <c r="F64" s="31"/>
      <c r="G64" s="31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51"/>
      <c r="Y64" s="55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51"/>
      <c r="AK64" s="56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51"/>
      <c r="AW64" s="56"/>
      <c r="AX64" s="31"/>
      <c r="AY64" s="31">
        <v>17.850000000000001</v>
      </c>
      <c r="AZ64" s="109"/>
      <c r="BA64" s="62"/>
      <c r="BB64" s="62"/>
      <c r="BC64" s="62"/>
      <c r="BD64" s="62"/>
      <c r="BE64" s="110"/>
      <c r="BF64" s="109"/>
      <c r="BG64" s="62"/>
      <c r="BH64" s="62"/>
      <c r="BI64" s="110"/>
      <c r="BJ64" s="59"/>
      <c r="BK64" s="46"/>
      <c r="BL64" s="428"/>
      <c r="BM64" s="61"/>
      <c r="BN64" s="62"/>
      <c r="BO64" s="63"/>
      <c r="BP64" s="64"/>
      <c r="BQ64" s="61"/>
      <c r="BR64" s="65"/>
      <c r="BS64" s="66"/>
      <c r="BT64" s="64"/>
      <c r="BU64" s="61"/>
      <c r="BV64" s="65"/>
      <c r="BW64" s="66"/>
      <c r="BX64" s="431"/>
      <c r="BY64" s="68"/>
      <c r="BZ64" s="69"/>
      <c r="CA64" s="70"/>
      <c r="CB64" s="71"/>
      <c r="CC64" s="72"/>
      <c r="CD64" s="434"/>
      <c r="CE64" s="62"/>
      <c r="CF64" s="73"/>
      <c r="CG64" s="74"/>
      <c r="CH64" s="74"/>
      <c r="CI64" s="74"/>
      <c r="CJ64" s="74"/>
      <c r="CK64" s="74"/>
      <c r="CL64" s="74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31"/>
      <c r="DB64" s="31">
        <v>17.850000000000001</v>
      </c>
      <c r="DC64" s="31">
        <v>17.850000000000001</v>
      </c>
      <c r="DD64" s="862">
        <v>17.850000000000001</v>
      </c>
      <c r="DE64" s="31">
        <v>17.850000000000001</v>
      </c>
      <c r="DF64" s="31">
        <v>8.93</v>
      </c>
      <c r="DG64" s="134">
        <v>8.92</v>
      </c>
      <c r="DI64" s="826"/>
      <c r="DJ64" s="788"/>
    </row>
    <row r="65" spans="1:114" s="783" customFormat="1" hidden="1">
      <c r="A65" s="47"/>
      <c r="B65" s="187" t="s">
        <v>280</v>
      </c>
      <c r="C65" s="836" t="s">
        <v>54</v>
      </c>
      <c r="D65" s="31"/>
      <c r="E65" s="31">
        <v>392.78</v>
      </c>
      <c r="F65" s="31">
        <v>392.78</v>
      </c>
      <c r="G65" s="31">
        <v>392.78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51"/>
      <c r="Y65" s="55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51"/>
      <c r="AK65" s="56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51"/>
      <c r="AW65" s="56"/>
      <c r="AX65" s="31"/>
      <c r="AY65" s="31"/>
      <c r="AZ65" s="109"/>
      <c r="BA65" s="62"/>
      <c r="BB65" s="62"/>
      <c r="BC65" s="62"/>
      <c r="BD65" s="62"/>
      <c r="BE65" s="110"/>
      <c r="BF65" s="109"/>
      <c r="BG65" s="62"/>
      <c r="BH65" s="62"/>
      <c r="BI65" s="110"/>
      <c r="BJ65" s="59"/>
      <c r="BK65" s="46"/>
      <c r="BL65" s="428"/>
      <c r="BM65" s="61"/>
      <c r="BN65" s="62"/>
      <c r="BO65" s="63"/>
      <c r="BP65" s="64"/>
      <c r="BQ65" s="61"/>
      <c r="BR65" s="65"/>
      <c r="BS65" s="66"/>
      <c r="BT65" s="64"/>
      <c r="BU65" s="61"/>
      <c r="BV65" s="65"/>
      <c r="BW65" s="66"/>
      <c r="BX65" s="431"/>
      <c r="BY65" s="68"/>
      <c r="BZ65" s="69"/>
      <c r="CA65" s="70"/>
      <c r="CB65" s="71"/>
      <c r="CC65" s="72"/>
      <c r="CD65" s="434"/>
      <c r="CE65" s="62"/>
      <c r="CF65" s="73"/>
      <c r="CG65" s="74"/>
      <c r="CH65" s="74"/>
      <c r="CI65" s="74"/>
      <c r="CJ65" s="74"/>
      <c r="CK65" s="74"/>
      <c r="CL65" s="74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31">
        <v>392.78</v>
      </c>
      <c r="DB65" s="31">
        <f>392.78-6-17.85</f>
        <v>368.92999999999995</v>
      </c>
      <c r="DC65" s="31">
        <v>392.78</v>
      </c>
      <c r="DD65" s="862">
        <v>142.69999999999999</v>
      </c>
      <c r="DE65" s="31">
        <v>392.78</v>
      </c>
      <c r="DF65" s="31">
        <v>196.39</v>
      </c>
      <c r="DG65" s="134">
        <f t="shared" si="36"/>
        <v>196.39</v>
      </c>
      <c r="DI65" s="826"/>
      <c r="DJ65" s="788"/>
    </row>
    <row r="66" spans="1:114" s="783" customFormat="1" hidden="1">
      <c r="A66" s="47"/>
      <c r="B66" s="187" t="s">
        <v>177</v>
      </c>
      <c r="C66" s="836" t="s">
        <v>54</v>
      </c>
      <c r="D66" s="31">
        <v>315</v>
      </c>
      <c r="E66" s="31">
        <v>397.5</v>
      </c>
      <c r="F66" s="31">
        <v>397.5</v>
      </c>
      <c r="G66" s="31">
        <v>397.5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51"/>
      <c r="Y66" s="55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51"/>
      <c r="AK66" s="56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51"/>
      <c r="AW66" s="56"/>
      <c r="AX66" s="31"/>
      <c r="AY66" s="31"/>
      <c r="AZ66" s="109"/>
      <c r="BA66" s="62">
        <v>378.25</v>
      </c>
      <c r="BB66" s="62"/>
      <c r="BC66" s="62"/>
      <c r="BD66" s="62"/>
      <c r="BE66" s="110"/>
      <c r="BF66" s="109"/>
      <c r="BG66" s="62"/>
      <c r="BH66" s="62"/>
      <c r="BI66" s="110"/>
      <c r="BJ66" s="59"/>
      <c r="BK66" s="46"/>
      <c r="BL66" s="428"/>
      <c r="BM66" s="61"/>
      <c r="BN66" s="62"/>
      <c r="BO66" s="63"/>
      <c r="BP66" s="64"/>
      <c r="BQ66" s="61"/>
      <c r="BR66" s="65"/>
      <c r="BS66" s="66"/>
      <c r="BT66" s="64"/>
      <c r="BU66" s="61"/>
      <c r="BV66" s="65"/>
      <c r="BW66" s="66"/>
      <c r="BX66" s="431"/>
      <c r="BY66" s="68"/>
      <c r="BZ66" s="69"/>
      <c r="CA66" s="70"/>
      <c r="CB66" s="71"/>
      <c r="CC66" s="72"/>
      <c r="CD66" s="434"/>
      <c r="CE66" s="62"/>
      <c r="CF66" s="73"/>
      <c r="CG66" s="74"/>
      <c r="CH66" s="74"/>
      <c r="CI66" s="74"/>
      <c r="CJ66" s="74"/>
      <c r="CK66" s="74"/>
      <c r="CL66" s="74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31">
        <v>397.5</v>
      </c>
      <c r="DB66" s="31">
        <v>397.5</v>
      </c>
      <c r="DC66" s="31">
        <v>397.5</v>
      </c>
      <c r="DD66" s="862">
        <v>203.4</v>
      </c>
      <c r="DE66" s="31">
        <v>397.5</v>
      </c>
      <c r="DF66" s="31">
        <v>198.75</v>
      </c>
      <c r="DG66" s="134">
        <f t="shared" si="36"/>
        <v>198.75</v>
      </c>
      <c r="DI66" s="826"/>
      <c r="DJ66" s="788"/>
    </row>
    <row r="67" spans="1:114" s="783" customFormat="1" ht="12" hidden="1" customHeight="1">
      <c r="A67" s="47"/>
      <c r="B67" s="187" t="s">
        <v>219</v>
      </c>
      <c r="C67" s="836" t="s">
        <v>54</v>
      </c>
      <c r="D67" s="31"/>
      <c r="E67" s="31"/>
      <c r="F67" s="31"/>
      <c r="G67" s="31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51"/>
      <c r="Y67" s="55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51"/>
      <c r="AK67" s="56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51"/>
      <c r="AW67" s="56"/>
      <c r="AX67" s="31"/>
      <c r="AY67" s="31"/>
      <c r="AZ67" s="109"/>
      <c r="BA67" s="62"/>
      <c r="BB67" s="62"/>
      <c r="BC67" s="62"/>
      <c r="BD67" s="62"/>
      <c r="BE67" s="110"/>
      <c r="BF67" s="109"/>
      <c r="BG67" s="62">
        <v>3.78</v>
      </c>
      <c r="BH67" s="62"/>
      <c r="BI67" s="110"/>
      <c r="BJ67" s="59"/>
      <c r="BK67" s="46"/>
      <c r="BL67" s="428"/>
      <c r="BM67" s="61"/>
      <c r="BN67" s="62"/>
      <c r="BO67" s="63"/>
      <c r="BP67" s="64"/>
      <c r="BQ67" s="61"/>
      <c r="BR67" s="65"/>
      <c r="BS67" s="66"/>
      <c r="BT67" s="64"/>
      <c r="BU67" s="61"/>
      <c r="BV67" s="65"/>
      <c r="BW67" s="66"/>
      <c r="BX67" s="431"/>
      <c r="BY67" s="68"/>
      <c r="BZ67" s="69"/>
      <c r="CA67" s="70"/>
      <c r="CB67" s="71"/>
      <c r="CC67" s="72"/>
      <c r="CD67" s="434"/>
      <c r="CE67" s="62"/>
      <c r="CF67" s="73"/>
      <c r="CG67" s="74"/>
      <c r="CH67" s="74"/>
      <c r="CI67" s="74"/>
      <c r="CJ67" s="74"/>
      <c r="CK67" s="74"/>
      <c r="CL67" s="74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31"/>
      <c r="DB67" s="31"/>
      <c r="DC67" s="31"/>
      <c r="DD67" s="862"/>
      <c r="DE67" s="31"/>
      <c r="DF67" s="31"/>
      <c r="DG67" s="134">
        <f>DF67/2</f>
        <v>0</v>
      </c>
      <c r="DI67" s="826"/>
      <c r="DJ67" s="788"/>
    </row>
    <row r="68" spans="1:114" s="783" customFormat="1" ht="24" hidden="1" customHeight="1">
      <c r="A68" s="47"/>
      <c r="B68" s="187" t="s">
        <v>218</v>
      </c>
      <c r="C68" s="836" t="s">
        <v>54</v>
      </c>
      <c r="D68" s="31"/>
      <c r="E68" s="31"/>
      <c r="F68" s="31"/>
      <c r="G68" s="31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51"/>
      <c r="Y68" s="55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51"/>
      <c r="AK68" s="56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51"/>
      <c r="AW68" s="56"/>
      <c r="AX68" s="31"/>
      <c r="AY68" s="31"/>
      <c r="AZ68" s="109"/>
      <c r="BA68" s="62"/>
      <c r="BB68" s="62"/>
      <c r="BC68" s="62"/>
      <c r="BD68" s="62"/>
      <c r="BE68" s="110"/>
      <c r="BF68" s="109"/>
      <c r="BG68" s="62">
        <v>23.85</v>
      </c>
      <c r="BH68" s="62"/>
      <c r="BI68" s="110"/>
      <c r="BJ68" s="59"/>
      <c r="BK68" s="46"/>
      <c r="BL68" s="428"/>
      <c r="BM68" s="61"/>
      <c r="BN68" s="62"/>
      <c r="BO68" s="63"/>
      <c r="BP68" s="64"/>
      <c r="BQ68" s="61"/>
      <c r="BR68" s="65"/>
      <c r="BS68" s="66"/>
      <c r="BT68" s="64"/>
      <c r="BU68" s="61"/>
      <c r="BV68" s="65"/>
      <c r="BW68" s="66"/>
      <c r="BX68" s="431"/>
      <c r="BY68" s="68"/>
      <c r="BZ68" s="69"/>
      <c r="CA68" s="70"/>
      <c r="CB68" s="71"/>
      <c r="CC68" s="72"/>
      <c r="CD68" s="434"/>
      <c r="CE68" s="62"/>
      <c r="CF68" s="73"/>
      <c r="CG68" s="74"/>
      <c r="CH68" s="74"/>
      <c r="CI68" s="74"/>
      <c r="CJ68" s="74"/>
      <c r="CK68" s="74"/>
      <c r="CL68" s="74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31"/>
      <c r="DB68" s="31"/>
      <c r="DC68" s="31"/>
      <c r="DD68" s="862"/>
      <c r="DE68" s="31"/>
      <c r="DF68" s="31"/>
      <c r="DG68" s="134">
        <f>DF68/2</f>
        <v>0</v>
      </c>
      <c r="DI68" s="826"/>
      <c r="DJ68" s="788"/>
    </row>
    <row r="69" spans="1:114" s="783" customFormat="1" hidden="1">
      <c r="A69" s="47"/>
      <c r="B69" s="187" t="s">
        <v>14</v>
      </c>
      <c r="C69" s="836" t="s">
        <v>54</v>
      </c>
      <c r="D69" s="31">
        <v>65</v>
      </c>
      <c r="E69" s="31">
        <v>84</v>
      </c>
      <c r="F69" s="31">
        <v>84</v>
      </c>
      <c r="G69" s="31">
        <v>84</v>
      </c>
      <c r="H69" s="134">
        <v>66</v>
      </c>
      <c r="I69" s="134"/>
      <c r="J69" s="134"/>
      <c r="K69" s="134"/>
      <c r="L69" s="134">
        <f>G69/12</f>
        <v>7</v>
      </c>
      <c r="M69" s="134">
        <v>5.5</v>
      </c>
      <c r="N69" s="134">
        <f>H69/12</f>
        <v>5.5</v>
      </c>
      <c r="O69" s="134"/>
      <c r="P69" s="134"/>
      <c r="Q69" s="134"/>
      <c r="R69" s="134"/>
      <c r="S69" s="134"/>
      <c r="T69" s="134"/>
      <c r="U69" s="134"/>
      <c r="V69" s="134"/>
      <c r="W69" s="134"/>
      <c r="X69" s="51">
        <f>O69-N69</f>
        <v>-5.5</v>
      </c>
      <c r="Y69" s="55">
        <f>O69/N69</f>
        <v>0</v>
      </c>
      <c r="Z69" s="134">
        <v>5.5</v>
      </c>
      <c r="AA69" s="134">
        <v>5.5</v>
      </c>
      <c r="AB69" s="134">
        <v>5.5</v>
      </c>
      <c r="AC69" s="134"/>
      <c r="AD69" s="134"/>
      <c r="AE69" s="134"/>
      <c r="AF69" s="134"/>
      <c r="AG69" s="134"/>
      <c r="AH69" s="134"/>
      <c r="AI69" s="134"/>
      <c r="AJ69" s="51">
        <f>AC69-AB69</f>
        <v>-5.5</v>
      </c>
      <c r="AK69" s="56">
        <f>AC69/AB69</f>
        <v>0</v>
      </c>
      <c r="AL69" s="134">
        <v>5.5</v>
      </c>
      <c r="AM69" s="134">
        <v>5.5</v>
      </c>
      <c r="AN69" s="134">
        <v>5.5</v>
      </c>
      <c r="AO69" s="134"/>
      <c r="AP69" s="134"/>
      <c r="AQ69" s="134"/>
      <c r="AR69" s="134"/>
      <c r="AS69" s="134"/>
      <c r="AT69" s="134"/>
      <c r="AU69" s="134"/>
      <c r="AV69" s="51">
        <f>AO69-AN69</f>
        <v>-5.5</v>
      </c>
      <c r="AW69" s="56">
        <f>AO69/AN69</f>
        <v>0</v>
      </c>
      <c r="AX69" s="31">
        <f t="shared" ref="AX69:AX94" si="37">G69/2</f>
        <v>42</v>
      </c>
      <c r="AY69" s="31">
        <v>74.5</v>
      </c>
      <c r="AZ69" s="109"/>
      <c r="BA69" s="62">
        <v>50.97</v>
      </c>
      <c r="BB69" s="62"/>
      <c r="BC69" s="62">
        <v>12.73</v>
      </c>
      <c r="BD69" s="62"/>
      <c r="BE69" s="110"/>
      <c r="BF69" s="109">
        <v>2.2999999999999998</v>
      </c>
      <c r="BG69" s="62"/>
      <c r="BH69" s="62"/>
      <c r="BI69" s="110"/>
      <c r="BJ69" s="59">
        <f t="shared" si="19"/>
        <v>50.97</v>
      </c>
      <c r="BK69" s="46" t="e">
        <f>BA69/AZ69</f>
        <v>#DIV/0!</v>
      </c>
      <c r="BL69" s="428"/>
      <c r="BM69" s="61">
        <v>5.5</v>
      </c>
      <c r="BN69" s="62"/>
      <c r="BO69" s="63"/>
      <c r="BP69" s="64"/>
      <c r="BQ69" s="61"/>
      <c r="BR69" s="65"/>
      <c r="BS69" s="66"/>
      <c r="BT69" s="64"/>
      <c r="BU69" s="61"/>
      <c r="BV69" s="65"/>
      <c r="BW69" s="66"/>
      <c r="BX69" s="431"/>
      <c r="BY69" s="68"/>
      <c r="BZ69" s="69">
        <f>M69+BM69+BQ69+BU69</f>
        <v>11</v>
      </c>
      <c r="CA69" s="70"/>
      <c r="CB69" s="71"/>
      <c r="CC69" s="72">
        <f>BZ69-E69</f>
        <v>-73</v>
      </c>
      <c r="CD69" s="434">
        <v>60</v>
      </c>
      <c r="CE69" s="62"/>
      <c r="CF69" s="73"/>
      <c r="CG69" s="74"/>
      <c r="CH69" s="74"/>
      <c r="CI69" s="74"/>
      <c r="CJ69" s="74"/>
      <c r="CK69" s="74"/>
      <c r="CL69" s="74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31">
        <v>84</v>
      </c>
      <c r="DB69" s="31">
        <v>84</v>
      </c>
      <c r="DC69" s="31">
        <v>84</v>
      </c>
      <c r="DD69" s="862">
        <v>84</v>
      </c>
      <c r="DE69" s="31">
        <v>84</v>
      </c>
      <c r="DF69" s="31">
        <v>42</v>
      </c>
      <c r="DG69" s="134">
        <f>DF69</f>
        <v>42</v>
      </c>
      <c r="DI69" s="826"/>
      <c r="DJ69" s="788"/>
    </row>
    <row r="70" spans="1:114" s="783" customFormat="1" ht="12" customHeight="1">
      <c r="A70" s="177" t="s">
        <v>254</v>
      </c>
      <c r="B70" s="178" t="s">
        <v>15</v>
      </c>
      <c r="C70" s="834" t="s">
        <v>54</v>
      </c>
      <c r="D70" s="179">
        <f>SUM(D71:D72)</f>
        <v>216.63</v>
      </c>
      <c r="E70" s="179">
        <f>SUM(E71:E72)</f>
        <v>635</v>
      </c>
      <c r="F70" s="179">
        <f>SUM(F71:F72)</f>
        <v>385</v>
      </c>
      <c r="G70" s="179">
        <f>SUM(G71:G72)</f>
        <v>385</v>
      </c>
      <c r="H70" s="180">
        <f t="shared" ref="H70:U70" si="38">SUM(H71)</f>
        <v>0</v>
      </c>
      <c r="I70" s="180">
        <f t="shared" si="38"/>
        <v>255</v>
      </c>
      <c r="J70" s="180">
        <f t="shared" si="38"/>
        <v>66.3</v>
      </c>
      <c r="K70" s="180">
        <f t="shared" si="38"/>
        <v>188.7</v>
      </c>
      <c r="L70" s="180">
        <f t="shared" si="38"/>
        <v>0</v>
      </c>
      <c r="M70" s="180">
        <f t="shared" si="38"/>
        <v>0</v>
      </c>
      <c r="N70" s="180">
        <f t="shared" si="38"/>
        <v>0</v>
      </c>
      <c r="O70" s="180">
        <f t="shared" si="38"/>
        <v>0</v>
      </c>
      <c r="P70" s="180">
        <v>0</v>
      </c>
      <c r="Q70" s="180">
        <f>Q71</f>
        <v>0</v>
      </c>
      <c r="R70" s="180">
        <v>21.25</v>
      </c>
      <c r="S70" s="180">
        <f t="shared" si="38"/>
        <v>0</v>
      </c>
      <c r="T70" s="180">
        <f t="shared" si="38"/>
        <v>15.725</v>
      </c>
      <c r="U70" s="180">
        <f t="shared" si="38"/>
        <v>0</v>
      </c>
      <c r="V70" s="180">
        <v>0</v>
      </c>
      <c r="W70" s="180"/>
      <c r="X70" s="181"/>
      <c r="Y70" s="191"/>
      <c r="Z70" s="180">
        <f t="shared" ref="Z70:AG70" si="39">SUM(Z71)</f>
        <v>21.25</v>
      </c>
      <c r="AA70" s="180">
        <f t="shared" si="39"/>
        <v>0</v>
      </c>
      <c r="AB70" s="180">
        <f t="shared" si="39"/>
        <v>0</v>
      </c>
      <c r="AC70" s="180">
        <f t="shared" si="39"/>
        <v>0</v>
      </c>
      <c r="AD70" s="180">
        <f t="shared" si="39"/>
        <v>5.5250000000000004</v>
      </c>
      <c r="AE70" s="180">
        <f t="shared" si="39"/>
        <v>0</v>
      </c>
      <c r="AF70" s="180">
        <f t="shared" si="39"/>
        <v>15.73</v>
      </c>
      <c r="AG70" s="180">
        <f t="shared" si="39"/>
        <v>0</v>
      </c>
      <c r="AH70" s="180"/>
      <c r="AI70" s="180"/>
      <c r="AJ70" s="181"/>
      <c r="AK70" s="192"/>
      <c r="AL70" s="180">
        <f t="shared" ref="AL70:AS70" si="40">SUM(AL71)</f>
        <v>21.25</v>
      </c>
      <c r="AM70" s="180">
        <f t="shared" si="40"/>
        <v>0</v>
      </c>
      <c r="AN70" s="180">
        <f t="shared" si="40"/>
        <v>0</v>
      </c>
      <c r="AO70" s="180">
        <f t="shared" si="40"/>
        <v>0</v>
      </c>
      <c r="AP70" s="180">
        <f t="shared" si="40"/>
        <v>5.5250000000000004</v>
      </c>
      <c r="AQ70" s="180">
        <f t="shared" si="40"/>
        <v>0</v>
      </c>
      <c r="AR70" s="180">
        <f t="shared" si="40"/>
        <v>15.73</v>
      </c>
      <c r="AS70" s="180">
        <f t="shared" si="40"/>
        <v>0</v>
      </c>
      <c r="AT70" s="180"/>
      <c r="AU70" s="180"/>
      <c r="AV70" s="181"/>
      <c r="AW70" s="192"/>
      <c r="AX70" s="179">
        <f t="shared" si="37"/>
        <v>192.5</v>
      </c>
      <c r="AY70" s="179">
        <f>99.98</f>
        <v>99.98</v>
      </c>
      <c r="AZ70" s="184">
        <f>H70/4</f>
        <v>0</v>
      </c>
      <c r="BA70" s="185">
        <f>SUM(BA71)</f>
        <v>178.3</v>
      </c>
      <c r="BB70" s="185">
        <f t="shared" ref="BB70:BG70" si="41">SUM(BB71)</f>
        <v>63.75</v>
      </c>
      <c r="BC70" s="185">
        <f t="shared" si="41"/>
        <v>92</v>
      </c>
      <c r="BD70" s="185">
        <f t="shared" si="41"/>
        <v>0</v>
      </c>
      <c r="BE70" s="186">
        <f t="shared" si="41"/>
        <v>0</v>
      </c>
      <c r="BF70" s="184">
        <f t="shared" si="41"/>
        <v>5.7</v>
      </c>
      <c r="BG70" s="185">
        <f t="shared" si="41"/>
        <v>0</v>
      </c>
      <c r="BH70" s="185"/>
      <c r="BI70" s="186"/>
      <c r="BJ70" s="426">
        <f t="shared" si="19"/>
        <v>178.3</v>
      </c>
      <c r="BK70" s="481"/>
      <c r="BL70" s="468"/>
      <c r="BM70" s="469"/>
      <c r="BN70" s="264"/>
      <c r="BO70" s="470"/>
      <c r="BP70" s="471"/>
      <c r="BQ70" s="469"/>
      <c r="BR70" s="472"/>
      <c r="BS70" s="473"/>
      <c r="BT70" s="471"/>
      <c r="BU70" s="469"/>
      <c r="BV70" s="472"/>
      <c r="BW70" s="473"/>
      <c r="BX70" s="474">
        <v>618.70000000000005</v>
      </c>
      <c r="BY70" s="475">
        <f>F70</f>
        <v>385</v>
      </c>
      <c r="BZ70" s="320">
        <f>M70+BM70+BQ70+BU70</f>
        <v>0</v>
      </c>
      <c r="CA70" s="469">
        <f>BZ70-BY70</f>
        <v>-385</v>
      </c>
      <c r="CB70" s="476">
        <f>BZ70/BY70</f>
        <v>0</v>
      </c>
      <c r="CC70" s="307">
        <f>BZ70-E70</f>
        <v>-635</v>
      </c>
      <c r="CD70" s="477">
        <f>SUM(CD71)</f>
        <v>308</v>
      </c>
      <c r="CE70" s="185">
        <f>SUM(CE71)</f>
        <v>77</v>
      </c>
      <c r="CF70" s="478"/>
      <c r="CG70" s="465"/>
      <c r="CH70" s="465"/>
      <c r="CI70" s="465"/>
      <c r="CJ70" s="465"/>
      <c r="CK70" s="465"/>
      <c r="CL70" s="465"/>
      <c r="CM70" s="466"/>
      <c r="CN70" s="466"/>
      <c r="CO70" s="466"/>
      <c r="CP70" s="466"/>
      <c r="CQ70" s="466"/>
      <c r="CR70" s="466"/>
      <c r="CS70" s="466"/>
      <c r="CT70" s="466"/>
      <c r="CU70" s="466"/>
      <c r="CV70" s="466"/>
      <c r="CW70" s="466"/>
      <c r="CX70" s="466"/>
      <c r="CY70" s="466"/>
      <c r="CZ70" s="466"/>
      <c r="DA70" s="179">
        <f>SUM(DA71:DA72)</f>
        <v>635</v>
      </c>
      <c r="DB70" s="179">
        <f>SUM(DB71:DB72)</f>
        <v>385</v>
      </c>
      <c r="DC70" s="179">
        <v>2663.55</v>
      </c>
      <c r="DD70" s="179">
        <v>2274.88</v>
      </c>
      <c r="DE70" s="179">
        <v>2663.55</v>
      </c>
      <c r="DF70" s="179">
        <v>198</v>
      </c>
      <c r="DG70" s="179">
        <v>198</v>
      </c>
      <c r="DI70" s="826"/>
      <c r="DJ70" s="788"/>
    </row>
    <row r="71" spans="1:114" s="783" customFormat="1" hidden="1">
      <c r="A71" s="177"/>
      <c r="B71" s="187" t="s">
        <v>185</v>
      </c>
      <c r="C71" s="836" t="s">
        <v>54</v>
      </c>
      <c r="D71" s="31">
        <v>216.63</v>
      </c>
      <c r="E71" s="31">
        <v>250</v>
      </c>
      <c r="F71" s="31"/>
      <c r="G71" s="31"/>
      <c r="H71" s="134">
        <v>0</v>
      </c>
      <c r="I71" s="134">
        <v>255</v>
      </c>
      <c r="J71" s="134">
        <v>66.3</v>
      </c>
      <c r="K71" s="134">
        <v>188.7</v>
      </c>
      <c r="L71" s="134">
        <f>G71/12</f>
        <v>0</v>
      </c>
      <c r="M71" s="134">
        <v>0</v>
      </c>
      <c r="N71" s="134"/>
      <c r="O71" s="134"/>
      <c r="P71" s="134"/>
      <c r="Q71" s="134">
        <v>0</v>
      </c>
      <c r="R71" s="134">
        <v>5.5250000000000004</v>
      </c>
      <c r="S71" s="134"/>
      <c r="T71" s="134">
        <v>15.725</v>
      </c>
      <c r="U71" s="134"/>
      <c r="V71" s="134"/>
      <c r="W71" s="134"/>
      <c r="X71" s="51"/>
      <c r="Y71" s="55"/>
      <c r="Z71" s="134">
        <v>21.25</v>
      </c>
      <c r="AA71" s="134"/>
      <c r="AB71" s="134"/>
      <c r="AC71" s="134"/>
      <c r="AD71" s="134">
        <v>5.5250000000000004</v>
      </c>
      <c r="AE71" s="134"/>
      <c r="AF71" s="134">
        <v>15.73</v>
      </c>
      <c r="AG71" s="134"/>
      <c r="AH71" s="134"/>
      <c r="AI71" s="134"/>
      <c r="AJ71" s="51"/>
      <c r="AK71" s="56"/>
      <c r="AL71" s="134">
        <v>21.25</v>
      </c>
      <c r="AM71" s="134"/>
      <c r="AN71" s="134"/>
      <c r="AO71" s="134"/>
      <c r="AP71" s="134">
        <v>5.5250000000000004</v>
      </c>
      <c r="AQ71" s="134"/>
      <c r="AR71" s="134">
        <v>15.73</v>
      </c>
      <c r="AS71" s="134"/>
      <c r="AT71" s="134"/>
      <c r="AU71" s="134"/>
      <c r="AV71" s="51"/>
      <c r="AW71" s="56"/>
      <c r="AX71" s="179">
        <f t="shared" si="37"/>
        <v>0</v>
      </c>
      <c r="AY71" s="31">
        <v>99.98</v>
      </c>
      <c r="AZ71" s="109"/>
      <c r="BA71" s="62">
        <v>178.3</v>
      </c>
      <c r="BB71" s="62">
        <f>I71/4</f>
        <v>63.75</v>
      </c>
      <c r="BC71" s="62">
        <v>92</v>
      </c>
      <c r="BD71" s="62"/>
      <c r="BE71" s="110"/>
      <c r="BF71" s="109">
        <v>5.7</v>
      </c>
      <c r="BG71" s="62"/>
      <c r="BH71" s="62"/>
      <c r="BI71" s="110"/>
      <c r="BJ71" s="426">
        <f t="shared" si="19"/>
        <v>178.3</v>
      </c>
      <c r="BK71" s="46"/>
      <c r="BL71" s="428"/>
      <c r="BM71" s="61"/>
      <c r="BN71" s="399"/>
      <c r="BO71" s="63"/>
      <c r="BP71" s="64"/>
      <c r="BQ71" s="61"/>
      <c r="BR71" s="479"/>
      <c r="BS71" s="66"/>
      <c r="BT71" s="64"/>
      <c r="BU71" s="61"/>
      <c r="BV71" s="65"/>
      <c r="BW71" s="66"/>
      <c r="BX71" s="431"/>
      <c r="BY71" s="68"/>
      <c r="BZ71" s="69">
        <v>385</v>
      </c>
      <c r="CA71" s="70"/>
      <c r="CB71" s="71"/>
      <c r="CC71" s="72">
        <f>BZ71-E71</f>
        <v>135</v>
      </c>
      <c r="CD71" s="434">
        <v>308</v>
      </c>
      <c r="CE71" s="62">
        <v>77</v>
      </c>
      <c r="CF71" s="73"/>
      <c r="CG71" s="74"/>
      <c r="CH71" s="74"/>
      <c r="CI71" s="74"/>
      <c r="CJ71" s="74"/>
      <c r="CK71" s="74"/>
      <c r="CL71" s="74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31">
        <v>250</v>
      </c>
      <c r="DB71" s="31"/>
      <c r="DC71" s="31">
        <v>396</v>
      </c>
      <c r="DD71" s="862"/>
      <c r="DE71" s="31">
        <v>396</v>
      </c>
      <c r="DF71" s="31">
        <v>198</v>
      </c>
      <c r="DG71" s="134">
        <v>198</v>
      </c>
      <c r="DH71" s="835"/>
      <c r="DI71" s="826"/>
      <c r="DJ71" s="788"/>
    </row>
    <row r="72" spans="1:114" s="783" customFormat="1" hidden="1">
      <c r="A72" s="177"/>
      <c r="B72" s="187" t="s">
        <v>247</v>
      </c>
      <c r="C72" s="836" t="s">
        <v>54</v>
      </c>
      <c r="D72" s="31"/>
      <c r="E72" s="31">
        <v>385</v>
      </c>
      <c r="F72" s="31">
        <v>385</v>
      </c>
      <c r="G72" s="31">
        <v>385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51"/>
      <c r="Y72" s="55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51"/>
      <c r="AK72" s="56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51"/>
      <c r="AW72" s="56"/>
      <c r="AX72" s="179">
        <f t="shared" si="37"/>
        <v>192.5</v>
      </c>
      <c r="AY72" s="31"/>
      <c r="AZ72" s="109"/>
      <c r="BA72" s="62"/>
      <c r="BB72" s="62"/>
      <c r="BC72" s="62"/>
      <c r="BD72" s="62"/>
      <c r="BE72" s="110"/>
      <c r="BF72" s="109"/>
      <c r="BG72" s="62"/>
      <c r="BH72" s="62"/>
      <c r="BI72" s="110"/>
      <c r="BJ72" s="426"/>
      <c r="BK72" s="46"/>
      <c r="BL72" s="428"/>
      <c r="BM72" s="61"/>
      <c r="BN72" s="399"/>
      <c r="BO72" s="63"/>
      <c r="BP72" s="64"/>
      <c r="BQ72" s="61"/>
      <c r="BR72" s="479"/>
      <c r="BS72" s="66"/>
      <c r="BT72" s="64"/>
      <c r="BU72" s="61"/>
      <c r="BV72" s="65"/>
      <c r="BW72" s="66"/>
      <c r="BX72" s="431"/>
      <c r="BY72" s="68"/>
      <c r="BZ72" s="69"/>
      <c r="CA72" s="70"/>
      <c r="CB72" s="71"/>
      <c r="CC72" s="72"/>
      <c r="CD72" s="434"/>
      <c r="CE72" s="62"/>
      <c r="CF72" s="73"/>
      <c r="CG72" s="74"/>
      <c r="CH72" s="74"/>
      <c r="CI72" s="74"/>
      <c r="CJ72" s="74"/>
      <c r="CK72" s="74"/>
      <c r="CL72" s="74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31">
        <v>385</v>
      </c>
      <c r="DB72" s="31">
        <v>385</v>
      </c>
      <c r="DC72" s="31"/>
      <c r="DD72" s="862">
        <v>385</v>
      </c>
      <c r="DE72" s="31"/>
      <c r="DF72" s="31"/>
      <c r="DG72" s="134"/>
      <c r="DH72" s="835"/>
      <c r="DI72" s="826"/>
      <c r="DJ72" s="788"/>
    </row>
    <row r="73" spans="1:114" s="783" customFormat="1">
      <c r="A73" s="177" t="s">
        <v>255</v>
      </c>
      <c r="B73" s="178" t="s">
        <v>22</v>
      </c>
      <c r="C73" s="834" t="s">
        <v>54</v>
      </c>
      <c r="D73" s="179">
        <f>SUM(D74:D86)</f>
        <v>2444.4399999999996</v>
      </c>
      <c r="E73" s="179">
        <f>SUM(E74:E86)</f>
        <v>2315.08</v>
      </c>
      <c r="F73" s="179">
        <f>SUM(F74:F86)</f>
        <v>2375.0800000000004</v>
      </c>
      <c r="G73" s="179">
        <f>SUM(G74:G86)</f>
        <v>2375.0800000000004</v>
      </c>
      <c r="H73" s="180">
        <f t="shared" ref="H73:M73" si="42">SUM(H74:H86)</f>
        <v>750</v>
      </c>
      <c r="I73" s="180">
        <f t="shared" si="42"/>
        <v>1178.55</v>
      </c>
      <c r="J73" s="180">
        <f t="shared" si="42"/>
        <v>306.42</v>
      </c>
      <c r="K73" s="180">
        <f t="shared" si="42"/>
        <v>872.13</v>
      </c>
      <c r="L73" s="180">
        <f t="shared" si="42"/>
        <v>155.40333333333334</v>
      </c>
      <c r="M73" s="180">
        <f t="shared" si="42"/>
        <v>66.039999999999992</v>
      </c>
      <c r="N73" s="180">
        <v>52.04</v>
      </c>
      <c r="O73" s="180">
        <v>38.07</v>
      </c>
      <c r="P73" s="180">
        <v>10.46</v>
      </c>
      <c r="Q73" s="180">
        <v>12.49</v>
      </c>
      <c r="R73" s="180">
        <v>98.21</v>
      </c>
      <c r="S73" s="180">
        <v>15.27</v>
      </c>
      <c r="T73" s="180">
        <f>SUM(T74:T86)</f>
        <v>72.677499999999995</v>
      </c>
      <c r="U73" s="180">
        <f>SUM(U74:U86)</f>
        <v>0</v>
      </c>
      <c r="V73" s="180">
        <v>0.21</v>
      </c>
      <c r="W73" s="180"/>
      <c r="X73" s="181">
        <f>O73-N73</f>
        <v>-13.969999999999999</v>
      </c>
      <c r="Y73" s="191">
        <f>O73/N73</f>
        <v>0.73155265180630291</v>
      </c>
      <c r="Z73" s="180">
        <f t="shared" ref="Z73:AG73" si="43">SUM(Z74:Z86)</f>
        <v>160.71</v>
      </c>
      <c r="AA73" s="180">
        <f t="shared" si="43"/>
        <v>126.53999999999999</v>
      </c>
      <c r="AB73" s="180">
        <f t="shared" si="43"/>
        <v>62.5</v>
      </c>
      <c r="AC73" s="180">
        <f t="shared" si="43"/>
        <v>0</v>
      </c>
      <c r="AD73" s="180">
        <f t="shared" si="43"/>
        <v>25.535</v>
      </c>
      <c r="AE73" s="180">
        <f t="shared" si="43"/>
        <v>0</v>
      </c>
      <c r="AF73" s="180">
        <f t="shared" si="43"/>
        <v>72.680000000000007</v>
      </c>
      <c r="AG73" s="180">
        <f t="shared" si="43"/>
        <v>0</v>
      </c>
      <c r="AH73" s="180"/>
      <c r="AI73" s="180"/>
      <c r="AJ73" s="181">
        <f>AC73-AB73</f>
        <v>-62.5</v>
      </c>
      <c r="AK73" s="192">
        <f>AC73/AB73</f>
        <v>0</v>
      </c>
      <c r="AL73" s="180">
        <f t="shared" ref="AL73:AS73" si="44">SUM(AL74:AL86)</f>
        <v>160.71</v>
      </c>
      <c r="AM73" s="180">
        <f t="shared" si="44"/>
        <v>126.53999999999999</v>
      </c>
      <c r="AN73" s="180">
        <f t="shared" si="44"/>
        <v>62.5</v>
      </c>
      <c r="AO73" s="180">
        <f t="shared" si="44"/>
        <v>0</v>
      </c>
      <c r="AP73" s="180">
        <f t="shared" si="44"/>
        <v>25.535</v>
      </c>
      <c r="AQ73" s="180">
        <f t="shared" si="44"/>
        <v>0</v>
      </c>
      <c r="AR73" s="180">
        <f t="shared" si="44"/>
        <v>72.680000000000007</v>
      </c>
      <c r="AS73" s="180">
        <f t="shared" si="44"/>
        <v>0</v>
      </c>
      <c r="AT73" s="180"/>
      <c r="AU73" s="180"/>
      <c r="AV73" s="181">
        <f>AO73-AN73</f>
        <v>-62.5</v>
      </c>
      <c r="AW73" s="192">
        <f>AO73/AN73</f>
        <v>0</v>
      </c>
      <c r="AX73" s="179">
        <f t="shared" si="37"/>
        <v>1187.5400000000002</v>
      </c>
      <c r="AY73" s="179">
        <f>SUM(AY74:AY86)</f>
        <v>1929.65</v>
      </c>
      <c r="AZ73" s="184">
        <f t="shared" ref="AZ73:BG73" si="45">SUM(AZ74:AZ86)</f>
        <v>0</v>
      </c>
      <c r="BA73" s="185">
        <f>SUM(BA74:BA86)</f>
        <v>1265.06</v>
      </c>
      <c r="BB73" s="185">
        <f t="shared" si="45"/>
        <v>0</v>
      </c>
      <c r="BC73" s="185">
        <f t="shared" si="45"/>
        <v>450.52000000000004</v>
      </c>
      <c r="BD73" s="185">
        <f t="shared" si="45"/>
        <v>0</v>
      </c>
      <c r="BE73" s="186">
        <f t="shared" si="45"/>
        <v>448.98</v>
      </c>
      <c r="BF73" s="184">
        <f t="shared" si="45"/>
        <v>82.38000000000001</v>
      </c>
      <c r="BG73" s="185">
        <f t="shared" si="45"/>
        <v>5.85</v>
      </c>
      <c r="BH73" s="185"/>
      <c r="BI73" s="186"/>
      <c r="BJ73" s="426">
        <f t="shared" si="19"/>
        <v>1265.06</v>
      </c>
      <c r="BK73" s="481" t="e">
        <f>BA73/AZ73</f>
        <v>#DIV/0!</v>
      </c>
      <c r="BL73" s="468"/>
      <c r="BM73" s="469">
        <f>SUM(BM74:BM86)</f>
        <v>126.539</v>
      </c>
      <c r="BN73" s="264"/>
      <c r="BO73" s="470"/>
      <c r="BP73" s="471"/>
      <c r="BQ73" s="469"/>
      <c r="BR73" s="472"/>
      <c r="BS73" s="473"/>
      <c r="BT73" s="471"/>
      <c r="BU73" s="469"/>
      <c r="BV73" s="472"/>
      <c r="BW73" s="473"/>
      <c r="BX73" s="474">
        <v>1655.98</v>
      </c>
      <c r="BY73" s="475">
        <f>F73</f>
        <v>2375.0800000000004</v>
      </c>
      <c r="BZ73" s="320">
        <f>M73+BM73+BQ73+BU73</f>
        <v>192.57900000000001</v>
      </c>
      <c r="CA73" s="469">
        <f>BZ73-BY73</f>
        <v>-2182.5010000000002</v>
      </c>
      <c r="CB73" s="476">
        <f>BZ73/BY73</f>
        <v>8.1083163514492129E-2</v>
      </c>
      <c r="CC73" s="307">
        <f>BZ73-E73</f>
        <v>-2122.5009999999997</v>
      </c>
      <c r="CD73" s="477">
        <f>SUM(CD76:CD86)</f>
        <v>519.21350000000007</v>
      </c>
      <c r="CE73" s="185">
        <f>SUM(CE76:CE86)</f>
        <v>19.920000000000002</v>
      </c>
      <c r="CF73" s="478"/>
      <c r="CG73" s="465"/>
      <c r="CH73" s="465"/>
      <c r="CI73" s="465"/>
      <c r="CJ73" s="465"/>
      <c r="CK73" s="465"/>
      <c r="CL73" s="465"/>
      <c r="CM73" s="466"/>
      <c r="CN73" s="466"/>
      <c r="CO73" s="466"/>
      <c r="CP73" s="466"/>
      <c r="CQ73" s="466"/>
      <c r="CR73" s="466"/>
      <c r="CS73" s="466"/>
      <c r="CT73" s="466"/>
      <c r="CU73" s="466"/>
      <c r="CV73" s="466"/>
      <c r="CW73" s="466"/>
      <c r="CX73" s="466"/>
      <c r="CY73" s="466"/>
      <c r="CZ73" s="466"/>
      <c r="DA73" s="179">
        <f t="shared" ref="DA73:DG73" si="46">SUM(DA74:DA86)</f>
        <v>2315.08</v>
      </c>
      <c r="DB73" s="179">
        <f t="shared" si="46"/>
        <v>2375.08</v>
      </c>
      <c r="DC73" s="179">
        <v>6453.61</v>
      </c>
      <c r="DD73" s="861">
        <v>5846.08</v>
      </c>
      <c r="DE73" s="179">
        <v>6453.61</v>
      </c>
      <c r="DF73" s="179">
        <f t="shared" si="46"/>
        <v>1191.74</v>
      </c>
      <c r="DG73" s="179">
        <f t="shared" si="46"/>
        <v>1191.74</v>
      </c>
      <c r="DI73" s="826"/>
      <c r="DJ73" s="788"/>
    </row>
    <row r="74" spans="1:114" s="783" customFormat="1" hidden="1">
      <c r="A74" s="47"/>
      <c r="B74" s="187" t="s">
        <v>94</v>
      </c>
      <c r="C74" s="836" t="s">
        <v>54</v>
      </c>
      <c r="D74" s="31">
        <v>37.5</v>
      </c>
      <c r="E74" s="31">
        <v>35</v>
      </c>
      <c r="F74" s="31">
        <v>35</v>
      </c>
      <c r="G74" s="31">
        <v>35</v>
      </c>
      <c r="H74" s="134"/>
      <c r="I74" s="134"/>
      <c r="J74" s="134"/>
      <c r="K74" s="134"/>
      <c r="L74" s="134"/>
      <c r="M74" s="134">
        <v>0.8</v>
      </c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51"/>
      <c r="Y74" s="55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51"/>
      <c r="AK74" s="56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51"/>
      <c r="AW74" s="56"/>
      <c r="AX74" s="179">
        <f t="shared" si="37"/>
        <v>17.5</v>
      </c>
      <c r="AY74" s="31"/>
      <c r="AZ74" s="184"/>
      <c r="BA74" s="62">
        <v>8.39</v>
      </c>
      <c r="BB74" s="62"/>
      <c r="BC74" s="62">
        <v>5.79</v>
      </c>
      <c r="BD74" s="62"/>
      <c r="BE74" s="110">
        <v>1.82</v>
      </c>
      <c r="BF74" s="109"/>
      <c r="BG74" s="62"/>
      <c r="BH74" s="62"/>
      <c r="BI74" s="110"/>
      <c r="BJ74" s="426">
        <f t="shared" si="19"/>
        <v>8.39</v>
      </c>
      <c r="BK74" s="46"/>
      <c r="BL74" s="428"/>
      <c r="BM74" s="61"/>
      <c r="BN74" s="399"/>
      <c r="BO74" s="63"/>
      <c r="BP74" s="64"/>
      <c r="BQ74" s="61"/>
      <c r="BR74" s="479"/>
      <c r="BS74" s="66"/>
      <c r="BT74" s="64"/>
      <c r="BU74" s="61"/>
      <c r="BV74" s="479"/>
      <c r="BW74" s="66"/>
      <c r="BX74" s="431"/>
      <c r="BY74" s="68"/>
      <c r="BZ74" s="69"/>
      <c r="CA74" s="61"/>
      <c r="CB74" s="71"/>
      <c r="CC74" s="72"/>
      <c r="CD74" s="434"/>
      <c r="CE74" s="62"/>
      <c r="CF74" s="73"/>
      <c r="CG74" s="74"/>
      <c r="CH74" s="74"/>
      <c r="CI74" s="74"/>
      <c r="CJ74" s="74"/>
      <c r="CK74" s="74"/>
      <c r="CL74" s="74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31">
        <v>35</v>
      </c>
      <c r="DB74" s="31">
        <v>35</v>
      </c>
      <c r="DC74" s="31">
        <v>35</v>
      </c>
      <c r="DD74" s="862">
        <v>24</v>
      </c>
      <c r="DE74" s="31">
        <v>35</v>
      </c>
      <c r="DF74" s="31">
        <f>DE74/2</f>
        <v>17.5</v>
      </c>
      <c r="DG74" s="134">
        <f>DF74</f>
        <v>17.5</v>
      </c>
      <c r="DI74" s="826"/>
      <c r="DJ74" s="788"/>
    </row>
    <row r="75" spans="1:114" s="783" customFormat="1" hidden="1">
      <c r="A75" s="47"/>
      <c r="B75" s="187" t="s">
        <v>220</v>
      </c>
      <c r="C75" s="836" t="s">
        <v>54</v>
      </c>
      <c r="D75" s="31"/>
      <c r="E75" s="31">
        <v>7.8</v>
      </c>
      <c r="F75" s="31">
        <v>7.8</v>
      </c>
      <c r="G75" s="31">
        <v>7.8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51"/>
      <c r="Y75" s="55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51"/>
      <c r="AK75" s="56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51"/>
      <c r="AW75" s="56"/>
      <c r="AX75" s="179">
        <f t="shared" si="37"/>
        <v>3.9</v>
      </c>
      <c r="AY75" s="31">
        <v>11.7</v>
      </c>
      <c r="AZ75" s="184"/>
      <c r="BA75" s="62"/>
      <c r="BB75" s="62"/>
      <c r="BC75" s="62"/>
      <c r="BD75" s="62"/>
      <c r="BE75" s="110"/>
      <c r="BF75" s="109"/>
      <c r="BG75" s="62">
        <v>5.85</v>
      </c>
      <c r="BH75" s="62"/>
      <c r="BI75" s="110"/>
      <c r="BJ75" s="426"/>
      <c r="BK75" s="46"/>
      <c r="BL75" s="428"/>
      <c r="BM75" s="61"/>
      <c r="BN75" s="399"/>
      <c r="BO75" s="63"/>
      <c r="BP75" s="64"/>
      <c r="BQ75" s="61"/>
      <c r="BR75" s="479"/>
      <c r="BS75" s="66"/>
      <c r="BT75" s="64"/>
      <c r="BU75" s="61"/>
      <c r="BV75" s="479"/>
      <c r="BW75" s="66"/>
      <c r="BX75" s="431"/>
      <c r="BY75" s="68"/>
      <c r="BZ75" s="69"/>
      <c r="CA75" s="61"/>
      <c r="CB75" s="71"/>
      <c r="CC75" s="72"/>
      <c r="CD75" s="434"/>
      <c r="CE75" s="62"/>
      <c r="CF75" s="73"/>
      <c r="CG75" s="74"/>
      <c r="CH75" s="74"/>
      <c r="CI75" s="74"/>
      <c r="CJ75" s="74"/>
      <c r="CK75" s="74"/>
      <c r="CL75" s="74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31">
        <v>7.8</v>
      </c>
      <c r="DB75" s="31">
        <v>12</v>
      </c>
      <c r="DC75" s="31">
        <v>12</v>
      </c>
      <c r="DD75" s="862">
        <v>21.6</v>
      </c>
      <c r="DE75" s="31">
        <v>12</v>
      </c>
      <c r="DF75" s="31">
        <f t="shared" ref="DF75:DF97" si="47">DE75/2</f>
        <v>6</v>
      </c>
      <c r="DG75" s="134">
        <f>DF75</f>
        <v>6</v>
      </c>
      <c r="DI75" s="826"/>
      <c r="DJ75" s="788"/>
    </row>
    <row r="76" spans="1:114" s="783" customFormat="1" hidden="1">
      <c r="A76" s="177"/>
      <c r="B76" s="187" t="s">
        <v>16</v>
      </c>
      <c r="C76" s="836" t="s">
        <v>54</v>
      </c>
      <c r="D76" s="31">
        <v>1885.92</v>
      </c>
      <c r="E76" s="31">
        <v>1804.84</v>
      </c>
      <c r="F76" s="31">
        <f>1804.84+60</f>
        <v>1864.84</v>
      </c>
      <c r="G76" s="31">
        <f>1804.84+60</f>
        <v>1864.84</v>
      </c>
      <c r="H76" s="134">
        <v>750</v>
      </c>
      <c r="I76" s="134">
        <v>1178.55</v>
      </c>
      <c r="J76" s="134">
        <v>306.42</v>
      </c>
      <c r="K76" s="134">
        <v>872.13</v>
      </c>
      <c r="L76" s="134">
        <f>G76/12</f>
        <v>155.40333333333334</v>
      </c>
      <c r="M76" s="134">
        <v>53.59</v>
      </c>
      <c r="N76" s="134">
        <f>H76/12</f>
        <v>62.5</v>
      </c>
      <c r="O76" s="134"/>
      <c r="P76" s="134"/>
      <c r="Q76" s="134"/>
      <c r="R76" s="134">
        <f>J76/12</f>
        <v>25.535</v>
      </c>
      <c r="S76" s="134"/>
      <c r="T76" s="134">
        <f>K76/12</f>
        <v>72.677499999999995</v>
      </c>
      <c r="U76" s="134"/>
      <c r="V76" s="134"/>
      <c r="W76" s="134"/>
      <c r="X76" s="51">
        <f>O76-N76</f>
        <v>-62.5</v>
      </c>
      <c r="Y76" s="55">
        <f>O76/N76</f>
        <v>0</v>
      </c>
      <c r="Z76" s="134">
        <v>160.71</v>
      </c>
      <c r="AA76" s="134">
        <v>97.19</v>
      </c>
      <c r="AB76" s="134">
        <v>62.5</v>
      </c>
      <c r="AC76" s="134"/>
      <c r="AD76" s="134">
        <v>25.535</v>
      </c>
      <c r="AE76" s="134"/>
      <c r="AF76" s="134">
        <v>72.680000000000007</v>
      </c>
      <c r="AG76" s="134"/>
      <c r="AH76" s="134"/>
      <c r="AI76" s="134"/>
      <c r="AJ76" s="51">
        <f>AC76-AB76</f>
        <v>-62.5</v>
      </c>
      <c r="AK76" s="56">
        <f>AC76/AB76</f>
        <v>0</v>
      </c>
      <c r="AL76" s="134">
        <v>160.71</v>
      </c>
      <c r="AM76" s="134">
        <v>97.19</v>
      </c>
      <c r="AN76" s="134">
        <v>62.5</v>
      </c>
      <c r="AO76" s="134"/>
      <c r="AP76" s="134">
        <v>25.535</v>
      </c>
      <c r="AQ76" s="134"/>
      <c r="AR76" s="134">
        <v>72.680000000000007</v>
      </c>
      <c r="AS76" s="134"/>
      <c r="AT76" s="134"/>
      <c r="AU76" s="134"/>
      <c r="AV76" s="51">
        <f>AO76-AN76</f>
        <v>-62.5</v>
      </c>
      <c r="AW76" s="56">
        <f>AO76/AN76</f>
        <v>0</v>
      </c>
      <c r="AX76" s="179">
        <f t="shared" si="37"/>
        <v>932.42</v>
      </c>
      <c r="AY76" s="31">
        <v>1509.01</v>
      </c>
      <c r="AZ76" s="109"/>
      <c r="BA76" s="62">
        <v>1088.3499999999999</v>
      </c>
      <c r="BB76" s="62"/>
      <c r="BC76" s="62">
        <v>351.41</v>
      </c>
      <c r="BD76" s="62"/>
      <c r="BE76" s="110">
        <v>262.92</v>
      </c>
      <c r="BF76" s="109">
        <v>38.39</v>
      </c>
      <c r="BG76" s="62"/>
      <c r="BH76" s="62"/>
      <c r="BI76" s="110"/>
      <c r="BJ76" s="426">
        <f t="shared" si="19"/>
        <v>1088.3499999999999</v>
      </c>
      <c r="BK76" s="46" t="e">
        <f>BA76/AZ76</f>
        <v>#DIV/0!</v>
      </c>
      <c r="BL76" s="428"/>
      <c r="BM76" s="61">
        <v>97.1935</v>
      </c>
      <c r="BN76" s="62"/>
      <c r="BO76" s="470"/>
      <c r="BP76" s="64"/>
      <c r="BQ76" s="61"/>
      <c r="BR76" s="65"/>
      <c r="BS76" s="66"/>
      <c r="BT76" s="64"/>
      <c r="BU76" s="61"/>
      <c r="BV76" s="65"/>
      <c r="BW76" s="66"/>
      <c r="BX76" s="431"/>
      <c r="BY76" s="68"/>
      <c r="BZ76" s="69">
        <f>M76+BM76+BQ76+BU76</f>
        <v>150.7835</v>
      </c>
      <c r="CA76" s="70"/>
      <c r="CB76" s="71"/>
      <c r="CC76" s="72">
        <f>BZ76-E76</f>
        <v>-1654.0564999999999</v>
      </c>
      <c r="CD76" s="434">
        <f>BZ76-CE76</f>
        <v>130.86349999999999</v>
      </c>
      <c r="CE76" s="62">
        <v>19.920000000000002</v>
      </c>
      <c r="CF76" s="73"/>
      <c r="CG76" s="74"/>
      <c r="CH76" s="74"/>
      <c r="CI76" s="74"/>
      <c r="CJ76" s="74"/>
      <c r="CK76" s="74"/>
      <c r="CL76" s="74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31">
        <v>1804.84</v>
      </c>
      <c r="DB76" s="31">
        <f>1804.84+60-8.4</f>
        <v>1856.4399999999998</v>
      </c>
      <c r="DC76" s="31">
        <f>1804.84+60</f>
        <v>1864.84</v>
      </c>
      <c r="DD76" s="862">
        <v>1800.63</v>
      </c>
      <c r="DE76" s="31">
        <f>1804.84+60</f>
        <v>1864.84</v>
      </c>
      <c r="DF76" s="31">
        <f t="shared" si="47"/>
        <v>932.42</v>
      </c>
      <c r="DG76" s="134">
        <f>DF76</f>
        <v>932.42</v>
      </c>
      <c r="DI76" s="826"/>
      <c r="DJ76" s="788"/>
    </row>
    <row r="77" spans="1:114" s="783" customFormat="1" hidden="1">
      <c r="A77" s="177"/>
      <c r="B77" s="187" t="s">
        <v>93</v>
      </c>
      <c r="C77" s="837" t="s">
        <v>54</v>
      </c>
      <c r="D77" s="31">
        <v>7.38</v>
      </c>
      <c r="E77" s="31"/>
      <c r="F77" s="31"/>
      <c r="G77" s="31"/>
      <c r="H77" s="134"/>
      <c r="I77" s="134"/>
      <c r="J77" s="134"/>
      <c r="K77" s="134"/>
      <c r="L77" s="134"/>
      <c r="M77" s="134">
        <v>1.04</v>
      </c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51"/>
      <c r="Y77" s="55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51"/>
      <c r="AK77" s="56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51"/>
      <c r="AW77" s="56"/>
      <c r="AX77" s="179">
        <f t="shared" si="37"/>
        <v>0</v>
      </c>
      <c r="AY77" s="31"/>
      <c r="AZ77" s="184"/>
      <c r="BA77" s="62"/>
      <c r="BB77" s="62"/>
      <c r="BC77" s="62"/>
      <c r="BD77" s="62"/>
      <c r="BE77" s="110"/>
      <c r="BF77" s="109"/>
      <c r="BG77" s="62"/>
      <c r="BH77" s="62"/>
      <c r="BI77" s="110"/>
      <c r="BJ77" s="426">
        <f>BA77-AZ77</f>
        <v>0</v>
      </c>
      <c r="BK77" s="46"/>
      <c r="BL77" s="428"/>
      <c r="BM77" s="61"/>
      <c r="BN77" s="62"/>
      <c r="BO77" s="470"/>
      <c r="BP77" s="64"/>
      <c r="BQ77" s="61"/>
      <c r="BR77" s="65"/>
      <c r="BS77" s="66"/>
      <c r="BT77" s="64"/>
      <c r="BU77" s="61"/>
      <c r="BV77" s="65"/>
      <c r="BW77" s="66"/>
      <c r="BX77" s="431"/>
      <c r="BY77" s="68"/>
      <c r="BZ77" s="69"/>
      <c r="CA77" s="70"/>
      <c r="CB77" s="71"/>
      <c r="CC77" s="72"/>
      <c r="CD77" s="434"/>
      <c r="CE77" s="62"/>
      <c r="CF77" s="73"/>
      <c r="CG77" s="74"/>
      <c r="CH77" s="74"/>
      <c r="CI77" s="74"/>
      <c r="CJ77" s="74"/>
      <c r="CK77" s="74"/>
      <c r="CL77" s="74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31"/>
      <c r="DB77" s="31"/>
      <c r="DC77" s="31"/>
      <c r="DD77" s="862"/>
      <c r="DE77" s="31"/>
      <c r="DF77" s="31"/>
      <c r="DG77" s="134">
        <f t="shared" ref="DG77:DG88" si="48">DF77/2</f>
        <v>0</v>
      </c>
      <c r="DI77" s="826"/>
      <c r="DJ77" s="788"/>
    </row>
    <row r="78" spans="1:114" s="783" customFormat="1" hidden="1">
      <c r="A78" s="177"/>
      <c r="B78" s="187" t="s">
        <v>13</v>
      </c>
      <c r="C78" s="836" t="s">
        <v>54</v>
      </c>
      <c r="D78" s="31">
        <v>133.19999999999999</v>
      </c>
      <c r="E78" s="31">
        <v>159.84</v>
      </c>
      <c r="F78" s="31">
        <v>159.84</v>
      </c>
      <c r="G78" s="31">
        <v>159.84</v>
      </c>
      <c r="H78" s="134"/>
      <c r="I78" s="134"/>
      <c r="J78" s="134"/>
      <c r="K78" s="134"/>
      <c r="L78" s="134"/>
      <c r="M78" s="134">
        <v>7.3</v>
      </c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51"/>
      <c r="Y78" s="55"/>
      <c r="Z78" s="134"/>
      <c r="AA78" s="134">
        <v>4.58</v>
      </c>
      <c r="AB78" s="134"/>
      <c r="AC78" s="134"/>
      <c r="AD78" s="134"/>
      <c r="AE78" s="134"/>
      <c r="AF78" s="134"/>
      <c r="AG78" s="134"/>
      <c r="AH78" s="134"/>
      <c r="AI78" s="134"/>
      <c r="AJ78" s="51"/>
      <c r="AK78" s="56"/>
      <c r="AL78" s="134"/>
      <c r="AM78" s="134">
        <v>4.58</v>
      </c>
      <c r="AN78" s="134"/>
      <c r="AO78" s="134"/>
      <c r="AP78" s="134"/>
      <c r="AQ78" s="134"/>
      <c r="AR78" s="134"/>
      <c r="AS78" s="134"/>
      <c r="AT78" s="134"/>
      <c r="AU78" s="134"/>
      <c r="AV78" s="51"/>
      <c r="AW78" s="56"/>
      <c r="AX78" s="179">
        <f t="shared" si="37"/>
        <v>79.92</v>
      </c>
      <c r="AY78" s="31">
        <v>106.76</v>
      </c>
      <c r="AZ78" s="184"/>
      <c r="BA78" s="62">
        <v>88.3</v>
      </c>
      <c r="BB78" s="62"/>
      <c r="BC78" s="62">
        <v>18.309999999999999</v>
      </c>
      <c r="BD78" s="62"/>
      <c r="BE78" s="110">
        <v>49.2</v>
      </c>
      <c r="BF78" s="109">
        <v>5.13</v>
      </c>
      <c r="BG78" s="62"/>
      <c r="BH78" s="62"/>
      <c r="BI78" s="110"/>
      <c r="BJ78" s="426">
        <f>BA78-AZ78</f>
        <v>88.3</v>
      </c>
      <c r="BK78" s="46"/>
      <c r="BL78" s="428"/>
      <c r="BM78" s="61">
        <v>4.5785</v>
      </c>
      <c r="BN78" s="62"/>
      <c r="BO78" s="470"/>
      <c r="BP78" s="64"/>
      <c r="BQ78" s="61"/>
      <c r="BR78" s="65"/>
      <c r="BS78" s="66"/>
      <c r="BT78" s="64"/>
      <c r="BU78" s="61"/>
      <c r="BV78" s="65"/>
      <c r="BW78" s="66"/>
      <c r="BX78" s="431"/>
      <c r="BY78" s="68"/>
      <c r="BZ78" s="69">
        <f>M78+BM78+BQ78+BU78</f>
        <v>11.878499999999999</v>
      </c>
      <c r="CA78" s="70"/>
      <c r="CB78" s="71"/>
      <c r="CC78" s="72">
        <f>BZ78-E78</f>
        <v>-147.9615</v>
      </c>
      <c r="CD78" s="434">
        <v>163.44999999999999</v>
      </c>
      <c r="CE78" s="62"/>
      <c r="CF78" s="73"/>
      <c r="CG78" s="74"/>
      <c r="CH78" s="74"/>
      <c r="CI78" s="74"/>
      <c r="CJ78" s="74"/>
      <c r="CK78" s="74"/>
      <c r="CL78" s="74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31">
        <v>159.84</v>
      </c>
      <c r="DB78" s="31">
        <v>159.84</v>
      </c>
      <c r="DC78" s="31">
        <v>159.84</v>
      </c>
      <c r="DD78" s="862">
        <v>103.79</v>
      </c>
      <c r="DE78" s="31">
        <v>159.84</v>
      </c>
      <c r="DF78" s="31">
        <f t="shared" si="47"/>
        <v>79.92</v>
      </c>
      <c r="DG78" s="134">
        <f>DF78</f>
        <v>79.92</v>
      </c>
      <c r="DI78" s="826"/>
      <c r="DJ78" s="788"/>
    </row>
    <row r="79" spans="1:114" s="783" customFormat="1" hidden="1">
      <c r="A79" s="177"/>
      <c r="B79" s="187" t="s">
        <v>249</v>
      </c>
      <c r="C79" s="836" t="s">
        <v>54</v>
      </c>
      <c r="D79" s="31"/>
      <c r="E79" s="31">
        <v>9.8000000000000007</v>
      </c>
      <c r="F79" s="31">
        <v>9.8000000000000007</v>
      </c>
      <c r="G79" s="31">
        <v>9.8000000000000007</v>
      </c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51"/>
      <c r="Y79" s="55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51"/>
      <c r="AK79" s="56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51"/>
      <c r="AW79" s="56"/>
      <c r="AX79" s="179"/>
      <c r="AY79" s="31"/>
      <c r="AZ79" s="184"/>
      <c r="BA79" s="62"/>
      <c r="BB79" s="62"/>
      <c r="BC79" s="62"/>
      <c r="BD79" s="62"/>
      <c r="BE79" s="110"/>
      <c r="BF79" s="109"/>
      <c r="BG79" s="62"/>
      <c r="BH79" s="62"/>
      <c r="BI79" s="110"/>
      <c r="BJ79" s="426"/>
      <c r="BK79" s="46"/>
      <c r="BL79" s="428"/>
      <c r="BM79" s="61"/>
      <c r="BN79" s="62"/>
      <c r="BO79" s="470"/>
      <c r="BP79" s="64"/>
      <c r="BQ79" s="61"/>
      <c r="BR79" s="65"/>
      <c r="BS79" s="66"/>
      <c r="BT79" s="64"/>
      <c r="BU79" s="61"/>
      <c r="BV79" s="65"/>
      <c r="BW79" s="66"/>
      <c r="BX79" s="431"/>
      <c r="BY79" s="68"/>
      <c r="BZ79" s="69"/>
      <c r="CA79" s="70"/>
      <c r="CB79" s="71"/>
      <c r="CC79" s="72"/>
      <c r="CD79" s="434"/>
      <c r="CE79" s="62"/>
      <c r="CF79" s="73"/>
      <c r="CG79" s="74"/>
      <c r="CH79" s="74"/>
      <c r="CI79" s="74"/>
      <c r="CJ79" s="74"/>
      <c r="CK79" s="74"/>
      <c r="CL79" s="74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31">
        <v>9.8000000000000007</v>
      </c>
      <c r="DB79" s="31">
        <v>9.8000000000000007</v>
      </c>
      <c r="DC79" s="31">
        <v>9.8000000000000007</v>
      </c>
      <c r="DD79" s="862"/>
      <c r="DE79" s="31">
        <v>9.8000000000000007</v>
      </c>
      <c r="DF79" s="31">
        <f t="shared" si="47"/>
        <v>4.9000000000000004</v>
      </c>
      <c r="DG79" s="134">
        <f>DF79</f>
        <v>4.9000000000000004</v>
      </c>
      <c r="DI79" s="826"/>
      <c r="DJ79" s="788"/>
    </row>
    <row r="80" spans="1:114" s="783" customFormat="1" hidden="1">
      <c r="A80" s="177"/>
      <c r="B80" s="187" t="s">
        <v>58</v>
      </c>
      <c r="C80" s="836" t="s">
        <v>54</v>
      </c>
      <c r="D80" s="31">
        <v>14.2</v>
      </c>
      <c r="E80" s="31"/>
      <c r="F80" s="31"/>
      <c r="G80" s="31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51"/>
      <c r="Y80" s="55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51"/>
      <c r="AK80" s="56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51"/>
      <c r="AW80" s="56"/>
      <c r="AX80" s="179">
        <f t="shared" si="37"/>
        <v>0</v>
      </c>
      <c r="AY80" s="31"/>
      <c r="AZ80" s="184"/>
      <c r="BA80" s="62"/>
      <c r="BB80" s="62"/>
      <c r="BC80" s="62"/>
      <c r="BD80" s="62"/>
      <c r="BE80" s="110"/>
      <c r="BF80" s="109"/>
      <c r="BG80" s="62"/>
      <c r="BH80" s="62"/>
      <c r="BI80" s="110"/>
      <c r="BJ80" s="426">
        <f>BA80-AZ80</f>
        <v>0</v>
      </c>
      <c r="BK80" s="46"/>
      <c r="BL80" s="428"/>
      <c r="BM80" s="61"/>
      <c r="BN80" s="62"/>
      <c r="BO80" s="470"/>
      <c r="BP80" s="64"/>
      <c r="BQ80" s="61"/>
      <c r="BR80" s="65"/>
      <c r="BS80" s="66"/>
      <c r="BT80" s="64"/>
      <c r="BU80" s="61"/>
      <c r="BV80" s="65"/>
      <c r="BW80" s="66"/>
      <c r="BX80" s="431"/>
      <c r="BY80" s="68"/>
      <c r="BZ80" s="69">
        <f>M80+BM80+BQ80+BU80</f>
        <v>0</v>
      </c>
      <c r="CA80" s="70"/>
      <c r="CB80" s="71"/>
      <c r="CC80" s="72">
        <f>BZ80-E80</f>
        <v>0</v>
      </c>
      <c r="CD80" s="434">
        <v>3.6</v>
      </c>
      <c r="CE80" s="62"/>
      <c r="CF80" s="73"/>
      <c r="CG80" s="74"/>
      <c r="CH80" s="74"/>
      <c r="CI80" s="74"/>
      <c r="CJ80" s="74"/>
      <c r="CK80" s="74"/>
      <c r="CL80" s="74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31"/>
      <c r="DB80" s="31"/>
      <c r="DC80" s="31"/>
      <c r="DD80" s="862"/>
      <c r="DE80" s="31"/>
      <c r="DF80" s="31">
        <f t="shared" si="47"/>
        <v>0</v>
      </c>
      <c r="DG80" s="134">
        <f t="shared" si="48"/>
        <v>0</v>
      </c>
      <c r="DI80" s="826"/>
      <c r="DJ80" s="788"/>
    </row>
    <row r="81" spans="1:114" s="783" customFormat="1" hidden="1">
      <c r="A81" s="177"/>
      <c r="B81" s="187" t="s">
        <v>119</v>
      </c>
      <c r="C81" s="837" t="s">
        <v>54</v>
      </c>
      <c r="D81" s="31">
        <v>15.72</v>
      </c>
      <c r="E81" s="31"/>
      <c r="F81" s="31"/>
      <c r="G81" s="31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51"/>
      <c r="Y81" s="55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51"/>
      <c r="AK81" s="56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51"/>
      <c r="AW81" s="56"/>
      <c r="AX81" s="179">
        <f t="shared" si="37"/>
        <v>0</v>
      </c>
      <c r="AY81" s="31"/>
      <c r="AZ81" s="184"/>
      <c r="BA81" s="62">
        <v>8.82</v>
      </c>
      <c r="BB81" s="62"/>
      <c r="BC81" s="62"/>
      <c r="BD81" s="62"/>
      <c r="BE81" s="110"/>
      <c r="BF81" s="109"/>
      <c r="BG81" s="62"/>
      <c r="BH81" s="62"/>
      <c r="BI81" s="110"/>
      <c r="BJ81" s="426"/>
      <c r="BK81" s="46"/>
      <c r="BL81" s="428"/>
      <c r="BM81" s="61"/>
      <c r="BN81" s="62"/>
      <c r="BO81" s="470"/>
      <c r="BP81" s="64"/>
      <c r="BQ81" s="61"/>
      <c r="BR81" s="65"/>
      <c r="BS81" s="66"/>
      <c r="BT81" s="64"/>
      <c r="BU81" s="61"/>
      <c r="BV81" s="65"/>
      <c r="BW81" s="66"/>
      <c r="BX81" s="431"/>
      <c r="BY81" s="68"/>
      <c r="BZ81" s="69"/>
      <c r="CA81" s="70"/>
      <c r="CB81" s="71"/>
      <c r="CC81" s="72"/>
      <c r="CD81" s="434"/>
      <c r="CE81" s="62"/>
      <c r="CF81" s="73"/>
      <c r="CG81" s="74"/>
      <c r="CH81" s="74"/>
      <c r="CI81" s="74"/>
      <c r="CJ81" s="74"/>
      <c r="CK81" s="74"/>
      <c r="CL81" s="74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31"/>
      <c r="DB81" s="31"/>
      <c r="DC81" s="31"/>
      <c r="DD81" s="862"/>
      <c r="DE81" s="31"/>
      <c r="DF81" s="31">
        <f t="shared" si="47"/>
        <v>0</v>
      </c>
      <c r="DG81" s="134">
        <f t="shared" si="48"/>
        <v>0</v>
      </c>
      <c r="DI81" s="826"/>
      <c r="DJ81" s="788"/>
    </row>
    <row r="82" spans="1:114" s="783" customFormat="1" hidden="1">
      <c r="A82" s="177"/>
      <c r="B82" s="187" t="s">
        <v>64</v>
      </c>
      <c r="C82" s="837" t="s">
        <v>54</v>
      </c>
      <c r="D82" s="31">
        <v>20.420000000000002</v>
      </c>
      <c r="E82" s="31"/>
      <c r="F82" s="31"/>
      <c r="G82" s="31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51"/>
      <c r="Y82" s="55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51"/>
      <c r="AK82" s="56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51"/>
      <c r="AW82" s="56"/>
      <c r="AX82" s="179">
        <f t="shared" si="37"/>
        <v>0</v>
      </c>
      <c r="AY82" s="31"/>
      <c r="AZ82" s="184"/>
      <c r="BA82" s="62"/>
      <c r="BB82" s="62"/>
      <c r="BC82" s="62"/>
      <c r="BD82" s="62"/>
      <c r="BE82" s="110"/>
      <c r="BF82" s="109"/>
      <c r="BG82" s="62"/>
      <c r="BH82" s="62"/>
      <c r="BI82" s="110"/>
      <c r="BJ82" s="426"/>
      <c r="BK82" s="46"/>
      <c r="BL82" s="428"/>
      <c r="BM82" s="61"/>
      <c r="BN82" s="62"/>
      <c r="BO82" s="470"/>
      <c r="BP82" s="64"/>
      <c r="BQ82" s="61"/>
      <c r="BR82" s="65"/>
      <c r="BS82" s="66"/>
      <c r="BT82" s="64"/>
      <c r="BU82" s="61"/>
      <c r="BV82" s="65"/>
      <c r="BW82" s="66"/>
      <c r="BX82" s="431"/>
      <c r="BY82" s="68"/>
      <c r="BZ82" s="69"/>
      <c r="CA82" s="70"/>
      <c r="CB82" s="71"/>
      <c r="CC82" s="72"/>
      <c r="CD82" s="434"/>
      <c r="CE82" s="62"/>
      <c r="CF82" s="73"/>
      <c r="CG82" s="74"/>
      <c r="CH82" s="74"/>
      <c r="CI82" s="74"/>
      <c r="CJ82" s="74"/>
      <c r="CK82" s="74"/>
      <c r="CL82" s="74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31"/>
      <c r="DB82" s="31"/>
      <c r="DC82" s="31"/>
      <c r="DD82" s="862"/>
      <c r="DE82" s="31"/>
      <c r="DF82" s="31">
        <f t="shared" si="47"/>
        <v>0</v>
      </c>
      <c r="DG82" s="134">
        <f t="shared" si="48"/>
        <v>0</v>
      </c>
      <c r="DI82" s="826"/>
      <c r="DJ82" s="788"/>
    </row>
    <row r="83" spans="1:114" s="783" customFormat="1" hidden="1">
      <c r="A83" s="177"/>
      <c r="B83" s="187" t="s">
        <v>130</v>
      </c>
      <c r="C83" s="837" t="s">
        <v>54</v>
      </c>
      <c r="D83" s="31">
        <v>6.9</v>
      </c>
      <c r="E83" s="31">
        <v>6</v>
      </c>
      <c r="F83" s="31">
        <v>6</v>
      </c>
      <c r="G83" s="31">
        <v>6</v>
      </c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51"/>
      <c r="Y83" s="55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51"/>
      <c r="AK83" s="56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51"/>
      <c r="AW83" s="56"/>
      <c r="AX83" s="179">
        <f t="shared" si="37"/>
        <v>3</v>
      </c>
      <c r="AY83" s="31">
        <v>9.4499999999999993</v>
      </c>
      <c r="AZ83" s="184"/>
      <c r="BA83" s="62">
        <v>2.0499999999999998</v>
      </c>
      <c r="BB83" s="62"/>
      <c r="BC83" s="62">
        <v>1.85</v>
      </c>
      <c r="BD83" s="62"/>
      <c r="BE83" s="110">
        <v>2.1</v>
      </c>
      <c r="BF83" s="109"/>
      <c r="BG83" s="62"/>
      <c r="BH83" s="62"/>
      <c r="BI83" s="110"/>
      <c r="BJ83" s="426"/>
      <c r="BK83" s="46"/>
      <c r="BL83" s="428"/>
      <c r="BM83" s="61"/>
      <c r="BN83" s="62"/>
      <c r="BO83" s="470"/>
      <c r="BP83" s="64"/>
      <c r="BQ83" s="61"/>
      <c r="BR83" s="65"/>
      <c r="BS83" s="66"/>
      <c r="BT83" s="64"/>
      <c r="BU83" s="61"/>
      <c r="BV83" s="65"/>
      <c r="BW83" s="66"/>
      <c r="BX83" s="431"/>
      <c r="BY83" s="68"/>
      <c r="BZ83" s="69"/>
      <c r="CA83" s="70"/>
      <c r="CB83" s="71"/>
      <c r="CC83" s="72"/>
      <c r="CD83" s="434"/>
      <c r="CE83" s="62"/>
      <c r="CF83" s="73"/>
      <c r="CG83" s="74"/>
      <c r="CH83" s="74"/>
      <c r="CI83" s="74"/>
      <c r="CJ83" s="74"/>
      <c r="CK83" s="74"/>
      <c r="CL83" s="74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31">
        <v>6</v>
      </c>
      <c r="DB83" s="31">
        <v>10.199999999999999</v>
      </c>
      <c r="DC83" s="31">
        <v>10.199999999999999</v>
      </c>
      <c r="DD83" s="862">
        <v>10.199999999999999</v>
      </c>
      <c r="DE83" s="31">
        <v>10.199999999999999</v>
      </c>
      <c r="DF83" s="31">
        <f t="shared" si="47"/>
        <v>5.0999999999999996</v>
      </c>
      <c r="DG83" s="134">
        <f>DF83</f>
        <v>5.0999999999999996</v>
      </c>
      <c r="DI83" s="826"/>
      <c r="DJ83" s="788"/>
    </row>
    <row r="84" spans="1:114" s="783" customFormat="1" hidden="1">
      <c r="A84" s="177"/>
      <c r="B84" s="187" t="s">
        <v>17</v>
      </c>
      <c r="C84" s="836" t="s">
        <v>54</v>
      </c>
      <c r="D84" s="31">
        <v>9.1999999999999993</v>
      </c>
      <c r="E84" s="31"/>
      <c r="F84" s="31"/>
      <c r="G84" s="31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51"/>
      <c r="Y84" s="55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51"/>
      <c r="AK84" s="56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51"/>
      <c r="AW84" s="56"/>
      <c r="AX84" s="179">
        <f t="shared" si="37"/>
        <v>0</v>
      </c>
      <c r="AY84" s="31"/>
      <c r="AZ84" s="184"/>
      <c r="BA84" s="62"/>
      <c r="BB84" s="62"/>
      <c r="BC84" s="62"/>
      <c r="BD84" s="62"/>
      <c r="BE84" s="110"/>
      <c r="BF84" s="109"/>
      <c r="BG84" s="62"/>
      <c r="BH84" s="62"/>
      <c r="BI84" s="110"/>
      <c r="BJ84" s="426">
        <f>BA84-AZ84</f>
        <v>0</v>
      </c>
      <c r="BK84" s="46"/>
      <c r="BL84" s="428"/>
      <c r="BM84" s="61"/>
      <c r="BN84" s="62"/>
      <c r="BO84" s="470"/>
      <c r="BP84" s="64"/>
      <c r="BQ84" s="61"/>
      <c r="BR84" s="65"/>
      <c r="BS84" s="66"/>
      <c r="BT84" s="64"/>
      <c r="BU84" s="61"/>
      <c r="BV84" s="65"/>
      <c r="BW84" s="66"/>
      <c r="BX84" s="431"/>
      <c r="BY84" s="68"/>
      <c r="BZ84" s="69">
        <f>M84+BM84+BQ84+BU84</f>
        <v>0</v>
      </c>
      <c r="CA84" s="70"/>
      <c r="CB84" s="71"/>
      <c r="CC84" s="72">
        <f>BZ84-E84</f>
        <v>0</v>
      </c>
      <c r="CD84" s="434">
        <v>8</v>
      </c>
      <c r="CE84" s="62"/>
      <c r="CF84" s="73"/>
      <c r="CG84" s="74"/>
      <c r="CH84" s="74"/>
      <c r="CI84" s="74"/>
      <c r="CJ84" s="74"/>
      <c r="CK84" s="74"/>
      <c r="CL84" s="74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31"/>
      <c r="DB84" s="31"/>
      <c r="DC84" s="31"/>
      <c r="DD84" s="862"/>
      <c r="DE84" s="31"/>
      <c r="DF84" s="31">
        <f t="shared" si="47"/>
        <v>0</v>
      </c>
      <c r="DG84" s="134">
        <f t="shared" si="48"/>
        <v>0</v>
      </c>
      <c r="DI84" s="826"/>
      <c r="DJ84" s="788"/>
    </row>
    <row r="85" spans="1:114" s="783" customFormat="1" hidden="1">
      <c r="A85" s="177"/>
      <c r="B85" s="187" t="s">
        <v>18</v>
      </c>
      <c r="C85" s="836" t="s">
        <v>54</v>
      </c>
      <c r="D85" s="31">
        <v>184</v>
      </c>
      <c r="E85" s="31">
        <v>239</v>
      </c>
      <c r="F85" s="31">
        <v>239</v>
      </c>
      <c r="G85" s="31">
        <v>239</v>
      </c>
      <c r="H85" s="134"/>
      <c r="I85" s="134"/>
      <c r="J85" s="134"/>
      <c r="K85" s="134"/>
      <c r="L85" s="134"/>
      <c r="M85" s="134">
        <v>3.31</v>
      </c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51"/>
      <c r="Y85" s="55"/>
      <c r="Z85" s="134"/>
      <c r="AA85" s="134">
        <v>20.5</v>
      </c>
      <c r="AB85" s="134"/>
      <c r="AC85" s="134"/>
      <c r="AD85" s="134"/>
      <c r="AE85" s="134"/>
      <c r="AF85" s="134"/>
      <c r="AG85" s="134"/>
      <c r="AH85" s="134"/>
      <c r="AI85" s="134"/>
      <c r="AJ85" s="51"/>
      <c r="AK85" s="56"/>
      <c r="AL85" s="134"/>
      <c r="AM85" s="134">
        <v>20.5</v>
      </c>
      <c r="AN85" s="134"/>
      <c r="AO85" s="134"/>
      <c r="AP85" s="134"/>
      <c r="AQ85" s="134"/>
      <c r="AR85" s="134"/>
      <c r="AS85" s="134"/>
      <c r="AT85" s="134"/>
      <c r="AU85" s="134"/>
      <c r="AV85" s="51"/>
      <c r="AW85" s="56"/>
      <c r="AX85" s="179">
        <f t="shared" si="37"/>
        <v>119.5</v>
      </c>
      <c r="AY85" s="31">
        <v>164.77</v>
      </c>
      <c r="AZ85" s="184"/>
      <c r="BA85" s="62">
        <v>46.64</v>
      </c>
      <c r="BB85" s="62"/>
      <c r="BC85" s="62">
        <v>57.72</v>
      </c>
      <c r="BD85" s="62"/>
      <c r="BE85" s="110">
        <v>121.09</v>
      </c>
      <c r="BF85" s="109">
        <v>34.72</v>
      </c>
      <c r="BG85" s="62"/>
      <c r="BH85" s="62"/>
      <c r="BI85" s="110"/>
      <c r="BJ85" s="426">
        <f>BA85-AZ85</f>
        <v>46.64</v>
      </c>
      <c r="BK85" s="46"/>
      <c r="BL85" s="428"/>
      <c r="BM85" s="61">
        <v>20.5</v>
      </c>
      <c r="BN85" s="62"/>
      <c r="BO85" s="470"/>
      <c r="BP85" s="64"/>
      <c r="BQ85" s="61"/>
      <c r="BR85" s="65"/>
      <c r="BS85" s="66"/>
      <c r="BT85" s="64"/>
      <c r="BU85" s="61"/>
      <c r="BV85" s="65"/>
      <c r="BW85" s="66"/>
      <c r="BX85" s="431"/>
      <c r="BY85" s="68"/>
      <c r="BZ85" s="69">
        <f>M85+BM85+BQ85+BU85</f>
        <v>23.81</v>
      </c>
      <c r="CA85" s="70"/>
      <c r="CB85" s="71"/>
      <c r="CC85" s="72">
        <f>BZ85-E85</f>
        <v>-215.19</v>
      </c>
      <c r="CD85" s="434">
        <v>87.35</v>
      </c>
      <c r="CE85" s="62"/>
      <c r="CF85" s="73"/>
      <c r="CG85" s="74"/>
      <c r="CH85" s="74"/>
      <c r="CI85" s="74"/>
      <c r="CJ85" s="74"/>
      <c r="CK85" s="74"/>
      <c r="CL85" s="74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31">
        <v>239</v>
      </c>
      <c r="DB85" s="31">
        <v>239</v>
      </c>
      <c r="DC85" s="31">
        <v>239</v>
      </c>
      <c r="DD85" s="862">
        <v>135.57</v>
      </c>
      <c r="DE85" s="31">
        <v>239</v>
      </c>
      <c r="DF85" s="31">
        <f t="shared" si="47"/>
        <v>119.5</v>
      </c>
      <c r="DG85" s="134">
        <f>DF85</f>
        <v>119.5</v>
      </c>
      <c r="DI85" s="826"/>
      <c r="DJ85" s="788"/>
    </row>
    <row r="86" spans="1:114" s="783" customFormat="1" hidden="1">
      <c r="A86" s="177"/>
      <c r="B86" s="187" t="s">
        <v>19</v>
      </c>
      <c r="C86" s="836" t="s">
        <v>54</v>
      </c>
      <c r="D86" s="31">
        <v>130</v>
      </c>
      <c r="E86" s="31">
        <v>52.8</v>
      </c>
      <c r="F86" s="31">
        <v>52.8</v>
      </c>
      <c r="G86" s="31">
        <v>52.8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54"/>
      <c r="Y86" s="55"/>
      <c r="Z86" s="134"/>
      <c r="AA86" s="134">
        <v>4.2699999999999996</v>
      </c>
      <c r="AB86" s="134"/>
      <c r="AC86" s="134"/>
      <c r="AD86" s="134"/>
      <c r="AE86" s="134"/>
      <c r="AF86" s="134"/>
      <c r="AG86" s="134"/>
      <c r="AH86" s="134"/>
      <c r="AI86" s="134"/>
      <c r="AJ86" s="54"/>
      <c r="AK86" s="56"/>
      <c r="AL86" s="134"/>
      <c r="AM86" s="134">
        <v>4.2699999999999996</v>
      </c>
      <c r="AN86" s="134"/>
      <c r="AO86" s="134"/>
      <c r="AP86" s="134"/>
      <c r="AQ86" s="134"/>
      <c r="AR86" s="134"/>
      <c r="AS86" s="134"/>
      <c r="AT86" s="134"/>
      <c r="AU86" s="134"/>
      <c r="AV86" s="54"/>
      <c r="AW86" s="56"/>
      <c r="AX86" s="179">
        <f t="shared" si="37"/>
        <v>26.4</v>
      </c>
      <c r="AY86" s="31">
        <v>127.96</v>
      </c>
      <c r="AZ86" s="184"/>
      <c r="BA86" s="62">
        <v>22.51</v>
      </c>
      <c r="BB86" s="62"/>
      <c r="BC86" s="62">
        <v>15.44</v>
      </c>
      <c r="BD86" s="62"/>
      <c r="BE86" s="110">
        <v>11.85</v>
      </c>
      <c r="BF86" s="109">
        <v>4.1399999999999997</v>
      </c>
      <c r="BG86" s="62"/>
      <c r="BH86" s="62"/>
      <c r="BI86" s="110"/>
      <c r="BJ86" s="426">
        <f t="shared" ref="BJ86:BJ90" si="49">BA86-AZ86</f>
        <v>22.51</v>
      </c>
      <c r="BK86" s="46"/>
      <c r="BL86" s="428"/>
      <c r="BM86" s="61">
        <v>4.2670000000000003</v>
      </c>
      <c r="BN86" s="62"/>
      <c r="BO86" s="470"/>
      <c r="BP86" s="64"/>
      <c r="BQ86" s="61"/>
      <c r="BR86" s="65"/>
      <c r="BS86" s="66"/>
      <c r="BT86" s="64"/>
      <c r="BU86" s="61"/>
      <c r="BV86" s="65"/>
      <c r="BW86" s="66"/>
      <c r="BX86" s="431"/>
      <c r="BY86" s="68"/>
      <c r="BZ86" s="69">
        <f t="shared" ref="BZ86:BZ90" si="50">M86+BM86+BQ86+BU86</f>
        <v>4.2670000000000003</v>
      </c>
      <c r="CA86" s="70"/>
      <c r="CB86" s="71"/>
      <c r="CC86" s="72">
        <f t="shared" ref="CC86:CC90" si="51">BZ86-E86</f>
        <v>-48.532999999999994</v>
      </c>
      <c r="CD86" s="434">
        <v>125.95</v>
      </c>
      <c r="CE86" s="62"/>
      <c r="CF86" s="73"/>
      <c r="CG86" s="74"/>
      <c r="CH86" s="74"/>
      <c r="CI86" s="74"/>
      <c r="CJ86" s="74"/>
      <c r="CK86" s="74"/>
      <c r="CL86" s="74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31">
        <v>52.8</v>
      </c>
      <c r="DB86" s="31">
        <v>52.8</v>
      </c>
      <c r="DC86" s="31">
        <v>52.8</v>
      </c>
      <c r="DD86" s="862">
        <v>98.16</v>
      </c>
      <c r="DE86" s="31">
        <v>52.8</v>
      </c>
      <c r="DF86" s="31">
        <f t="shared" si="47"/>
        <v>26.4</v>
      </c>
      <c r="DG86" s="134">
        <f>DF86</f>
        <v>26.4</v>
      </c>
      <c r="DI86" s="826"/>
      <c r="DJ86" s="788"/>
    </row>
    <row r="87" spans="1:114" s="783" customFormat="1" hidden="1">
      <c r="A87" s="177"/>
      <c r="B87" s="187" t="s">
        <v>23</v>
      </c>
      <c r="C87" s="837" t="s">
        <v>54</v>
      </c>
      <c r="D87" s="31">
        <v>63.53</v>
      </c>
      <c r="E87" s="31">
        <v>46.32</v>
      </c>
      <c r="F87" s="31">
        <v>46.32</v>
      </c>
      <c r="G87" s="31">
        <v>46.32</v>
      </c>
      <c r="H87" s="134">
        <v>49.58</v>
      </c>
      <c r="I87" s="134">
        <f>G87-H87</f>
        <v>-3.259999999999998</v>
      </c>
      <c r="J87" s="134">
        <v>6.56</v>
      </c>
      <c r="K87" s="134">
        <f>I87-J87</f>
        <v>-9.8199999999999967</v>
      </c>
      <c r="L87" s="134">
        <f>G87/12</f>
        <v>3.86</v>
      </c>
      <c r="M87" s="134"/>
      <c r="N87" s="134">
        <f>H87/12</f>
        <v>4.1316666666666668</v>
      </c>
      <c r="O87" s="134"/>
      <c r="P87" s="134"/>
      <c r="Q87" s="134"/>
      <c r="R87" s="134">
        <f>J87/12</f>
        <v>0.54666666666666663</v>
      </c>
      <c r="S87" s="134"/>
      <c r="T87" s="134">
        <f>K87/12</f>
        <v>-0.81833333333333302</v>
      </c>
      <c r="U87" s="134"/>
      <c r="V87" s="134"/>
      <c r="W87" s="134"/>
      <c r="X87" s="51">
        <f>O87-N87</f>
        <v>-4.1316666666666668</v>
      </c>
      <c r="Y87" s="55">
        <f>O87/N87</f>
        <v>0</v>
      </c>
      <c r="Z87" s="134">
        <v>6.23</v>
      </c>
      <c r="AA87" s="134">
        <v>2.36</v>
      </c>
      <c r="AB87" s="134">
        <v>4.13</v>
      </c>
      <c r="AC87" s="134"/>
      <c r="AD87" s="134">
        <v>0.55000000000000004</v>
      </c>
      <c r="AE87" s="134"/>
      <c r="AF87" s="134">
        <v>1.5558000000000001</v>
      </c>
      <c r="AG87" s="134"/>
      <c r="AH87" s="134"/>
      <c r="AI87" s="134"/>
      <c r="AJ87" s="51">
        <f>AC87-AB87</f>
        <v>-4.13</v>
      </c>
      <c r="AK87" s="56">
        <f>AC87/AB87</f>
        <v>0</v>
      </c>
      <c r="AL87" s="134">
        <v>6.23</v>
      </c>
      <c r="AM87" s="134">
        <v>2.36</v>
      </c>
      <c r="AN87" s="134">
        <v>4.13</v>
      </c>
      <c r="AO87" s="134"/>
      <c r="AP87" s="134">
        <v>0.55000000000000004</v>
      </c>
      <c r="AQ87" s="134"/>
      <c r="AR87" s="134">
        <v>1.5558000000000001</v>
      </c>
      <c r="AS87" s="134"/>
      <c r="AT87" s="134"/>
      <c r="AU87" s="134"/>
      <c r="AV87" s="51">
        <f>AO87-AN87</f>
        <v>-4.13</v>
      </c>
      <c r="AW87" s="56">
        <f>AO87/AN87</f>
        <v>0</v>
      </c>
      <c r="AX87" s="31">
        <f t="shared" si="37"/>
        <v>23.16</v>
      </c>
      <c r="AY87" s="31">
        <v>44.17</v>
      </c>
      <c r="AZ87" s="109"/>
      <c r="BA87" s="62">
        <v>24.28</v>
      </c>
      <c r="BB87" s="62"/>
      <c r="BC87" s="62">
        <v>18.41</v>
      </c>
      <c r="BD87" s="62"/>
      <c r="BE87" s="110">
        <v>2.2799999999999998</v>
      </c>
      <c r="BF87" s="109">
        <v>0.75</v>
      </c>
      <c r="BG87" s="62"/>
      <c r="BH87" s="62"/>
      <c r="BI87" s="110"/>
      <c r="BJ87" s="426">
        <f t="shared" si="49"/>
        <v>24.28</v>
      </c>
      <c r="BK87" s="46" t="e">
        <f>BA87/AZ87</f>
        <v>#DIV/0!</v>
      </c>
      <c r="BL87" s="428"/>
      <c r="BM87" s="61">
        <v>2.36442</v>
      </c>
      <c r="BN87" s="62"/>
      <c r="BO87" s="470"/>
      <c r="BP87" s="64"/>
      <c r="BQ87" s="61"/>
      <c r="BR87" s="65"/>
      <c r="BS87" s="66"/>
      <c r="BT87" s="64"/>
      <c r="BU87" s="61"/>
      <c r="BV87" s="65"/>
      <c r="BW87" s="66"/>
      <c r="BX87" s="431"/>
      <c r="BY87" s="68"/>
      <c r="BZ87" s="69">
        <f t="shared" si="50"/>
        <v>2.36442</v>
      </c>
      <c r="CA87" s="70"/>
      <c r="CB87" s="71"/>
      <c r="CC87" s="72">
        <f t="shared" si="51"/>
        <v>-43.955579999999998</v>
      </c>
      <c r="CD87" s="434">
        <v>14.52</v>
      </c>
      <c r="CE87" s="62"/>
      <c r="CF87" s="73"/>
      <c r="CG87" s="74"/>
      <c r="CH87" s="74"/>
      <c r="CI87" s="74"/>
      <c r="CJ87" s="74"/>
      <c r="CK87" s="74"/>
      <c r="CL87" s="74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31">
        <v>46.32</v>
      </c>
      <c r="DB87" s="31">
        <v>46.32</v>
      </c>
      <c r="DC87" s="31">
        <v>57.35</v>
      </c>
      <c r="DD87" s="862">
        <v>51.55</v>
      </c>
      <c r="DE87" s="31">
        <v>57.35</v>
      </c>
      <c r="DF87" s="31">
        <f t="shared" si="47"/>
        <v>28.675000000000001</v>
      </c>
      <c r="DG87" s="134">
        <f>DF87</f>
        <v>28.675000000000001</v>
      </c>
      <c r="DI87" s="826"/>
      <c r="DJ87" s="788"/>
    </row>
    <row r="88" spans="1:114" s="783" customFormat="1" hidden="1">
      <c r="A88" s="177"/>
      <c r="B88" s="187" t="s">
        <v>24</v>
      </c>
      <c r="C88" s="837" t="s">
        <v>54</v>
      </c>
      <c r="D88" s="31">
        <v>1114.1300000000001</v>
      </c>
      <c r="E88" s="31">
        <v>1113.8499999999999</v>
      </c>
      <c r="F88" s="31">
        <v>1113.8499999999999</v>
      </c>
      <c r="G88" s="31">
        <v>1113.8499999999999</v>
      </c>
      <c r="H88" s="134">
        <v>717.5</v>
      </c>
      <c r="I88" s="134">
        <f>G88-H88</f>
        <v>396.34999999999991</v>
      </c>
      <c r="J88" s="134">
        <v>94.95</v>
      </c>
      <c r="K88" s="134">
        <f>I88-J88</f>
        <v>301.39999999999992</v>
      </c>
      <c r="L88" s="134">
        <f>G88/12</f>
        <v>92.820833333333326</v>
      </c>
      <c r="M88" s="134">
        <v>71.47</v>
      </c>
      <c r="N88" s="134">
        <f>H88/12</f>
        <v>59.791666666666664</v>
      </c>
      <c r="O88" s="134"/>
      <c r="P88" s="134"/>
      <c r="Q88" s="134"/>
      <c r="R88" s="134">
        <f>J88/12</f>
        <v>7.9125000000000005</v>
      </c>
      <c r="S88" s="134"/>
      <c r="T88" s="134">
        <f>K88/12</f>
        <v>25.11666666666666</v>
      </c>
      <c r="U88" s="134"/>
      <c r="V88" s="134"/>
      <c r="W88" s="134"/>
      <c r="X88" s="51">
        <f>O88-N88</f>
        <v>-59.791666666666664</v>
      </c>
      <c r="Y88" s="55">
        <f>O88/N88</f>
        <v>0</v>
      </c>
      <c r="Z88" s="134">
        <v>90.22</v>
      </c>
      <c r="AA88" s="134">
        <v>63.7</v>
      </c>
      <c r="AB88" s="134">
        <v>59.79</v>
      </c>
      <c r="AC88" s="134"/>
      <c r="AD88" s="134">
        <v>7.91</v>
      </c>
      <c r="AE88" s="134"/>
      <c r="AF88" s="134">
        <v>22.52</v>
      </c>
      <c r="AG88" s="134"/>
      <c r="AH88" s="134"/>
      <c r="AI88" s="134"/>
      <c r="AJ88" s="51">
        <f>AC88-AB88</f>
        <v>-59.79</v>
      </c>
      <c r="AK88" s="56">
        <f>AC88/AB88</f>
        <v>0</v>
      </c>
      <c r="AL88" s="134">
        <v>90.22</v>
      </c>
      <c r="AM88" s="134">
        <v>63.7</v>
      </c>
      <c r="AN88" s="134">
        <v>59.79</v>
      </c>
      <c r="AO88" s="134"/>
      <c r="AP88" s="134">
        <v>7.91</v>
      </c>
      <c r="AQ88" s="134"/>
      <c r="AR88" s="134">
        <v>22.52</v>
      </c>
      <c r="AS88" s="134"/>
      <c r="AT88" s="134"/>
      <c r="AU88" s="134"/>
      <c r="AV88" s="51">
        <f>AO88-AN88</f>
        <v>-59.79</v>
      </c>
      <c r="AW88" s="56">
        <f>AO88/AN88</f>
        <v>0</v>
      </c>
      <c r="AX88" s="31">
        <f t="shared" si="37"/>
        <v>556.92499999999995</v>
      </c>
      <c r="AY88" s="31">
        <v>1032.26</v>
      </c>
      <c r="AZ88" s="109"/>
      <c r="BA88" s="62">
        <v>590.48</v>
      </c>
      <c r="BB88" s="62"/>
      <c r="BC88" s="62">
        <v>432.89</v>
      </c>
      <c r="BD88" s="62"/>
      <c r="BE88" s="110">
        <v>58.04</v>
      </c>
      <c r="BF88" s="109">
        <v>18.809999999999999</v>
      </c>
      <c r="BG88" s="62"/>
      <c r="BH88" s="62"/>
      <c r="BI88" s="110"/>
      <c r="BJ88" s="426">
        <f t="shared" si="49"/>
        <v>590.48</v>
      </c>
      <c r="BK88" s="46" t="e">
        <f>BA88/AZ88</f>
        <v>#DIV/0!</v>
      </c>
      <c r="BL88" s="428"/>
      <c r="BM88" s="61">
        <v>63.703650000000003</v>
      </c>
      <c r="BN88" s="62"/>
      <c r="BO88" s="470"/>
      <c r="BP88" s="64"/>
      <c r="BQ88" s="61"/>
      <c r="BR88" s="65"/>
      <c r="BS88" s="66"/>
      <c r="BT88" s="64"/>
      <c r="BU88" s="61"/>
      <c r="BV88" s="65"/>
      <c r="BW88" s="66"/>
      <c r="BX88" s="431"/>
      <c r="BY88" s="68"/>
      <c r="BZ88" s="69">
        <f t="shared" si="50"/>
        <v>135.17365000000001</v>
      </c>
      <c r="CA88" s="70"/>
      <c r="CB88" s="71"/>
      <c r="CC88" s="72">
        <f t="shared" si="51"/>
        <v>-978.67634999999996</v>
      </c>
      <c r="CD88" s="434">
        <f>BZ88-CE88</f>
        <v>135.17365000000001</v>
      </c>
      <c r="CE88" s="62"/>
      <c r="CF88" s="73"/>
      <c r="CG88" s="74"/>
      <c r="CH88" s="74"/>
      <c r="CI88" s="74"/>
      <c r="CJ88" s="74"/>
      <c r="CK88" s="74"/>
      <c r="CL88" s="74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31">
        <v>1113.8499999999999</v>
      </c>
      <c r="DB88" s="31"/>
      <c r="DC88" s="31"/>
      <c r="DD88" s="862">
        <v>5.35</v>
      </c>
      <c r="DE88" s="31"/>
      <c r="DF88" s="31">
        <f t="shared" si="47"/>
        <v>0</v>
      </c>
      <c r="DG88" s="134">
        <f t="shared" si="48"/>
        <v>0</v>
      </c>
      <c r="DI88" s="826"/>
      <c r="DJ88" s="788"/>
    </row>
    <row r="89" spans="1:114" s="783" customFormat="1" hidden="1">
      <c r="A89" s="177"/>
      <c r="B89" s="187" t="s">
        <v>178</v>
      </c>
      <c r="C89" s="837" t="s">
        <v>54</v>
      </c>
      <c r="D89" s="31">
        <v>447.46</v>
      </c>
      <c r="E89" s="31">
        <v>516.01</v>
      </c>
      <c r="F89" s="31">
        <v>516.01</v>
      </c>
      <c r="G89" s="31">
        <v>516.01</v>
      </c>
      <c r="H89" s="134">
        <v>335.54</v>
      </c>
      <c r="I89" s="134">
        <f>G89-H89</f>
        <v>180.46999999999997</v>
      </c>
      <c r="J89" s="134">
        <v>44.4</v>
      </c>
      <c r="K89" s="134">
        <f>I89-J89</f>
        <v>136.06999999999996</v>
      </c>
      <c r="L89" s="134">
        <f>G89/12</f>
        <v>43.000833333333333</v>
      </c>
      <c r="M89" s="134">
        <v>29.39</v>
      </c>
      <c r="N89" s="134">
        <f>H89/12</f>
        <v>27.96166666666667</v>
      </c>
      <c r="O89" s="134"/>
      <c r="P89" s="134"/>
      <c r="Q89" s="134"/>
      <c r="R89" s="134">
        <f>J89/12</f>
        <v>3.6999999999999997</v>
      </c>
      <c r="S89" s="134"/>
      <c r="T89" s="134">
        <f>K89/12</f>
        <v>11.339166666666664</v>
      </c>
      <c r="U89" s="134"/>
      <c r="V89" s="134"/>
      <c r="W89" s="134"/>
      <c r="X89" s="51">
        <f>O89-N89</f>
        <v>-27.96166666666667</v>
      </c>
      <c r="Y89" s="55">
        <f>O89/N89</f>
        <v>0</v>
      </c>
      <c r="Z89" s="134">
        <v>42.19</v>
      </c>
      <c r="AA89" s="134">
        <v>34.4</v>
      </c>
      <c r="AB89" s="134">
        <v>27.96</v>
      </c>
      <c r="AC89" s="134"/>
      <c r="AD89" s="134">
        <v>3.7</v>
      </c>
      <c r="AE89" s="134"/>
      <c r="AF89" s="134">
        <v>10.53</v>
      </c>
      <c r="AG89" s="134"/>
      <c r="AH89" s="134"/>
      <c r="AI89" s="134"/>
      <c r="AJ89" s="51">
        <f>AC89-AB89</f>
        <v>-27.96</v>
      </c>
      <c r="AK89" s="56">
        <f>AC89/AB89</f>
        <v>0</v>
      </c>
      <c r="AL89" s="134">
        <v>42.19</v>
      </c>
      <c r="AM89" s="134">
        <v>34.4</v>
      </c>
      <c r="AN89" s="134">
        <v>27.96</v>
      </c>
      <c r="AO89" s="134"/>
      <c r="AP89" s="134">
        <v>3.7</v>
      </c>
      <c r="AQ89" s="134"/>
      <c r="AR89" s="134">
        <v>10.53</v>
      </c>
      <c r="AS89" s="134"/>
      <c r="AT89" s="134"/>
      <c r="AU89" s="134"/>
      <c r="AV89" s="51">
        <f>AO89-AN89</f>
        <v>-27.96</v>
      </c>
      <c r="AW89" s="56">
        <f>AO89/AN89</f>
        <v>0</v>
      </c>
      <c r="AX89" s="31">
        <f t="shared" si="37"/>
        <v>258.005</v>
      </c>
      <c r="AY89" s="31">
        <v>484.03</v>
      </c>
      <c r="AZ89" s="109"/>
      <c r="BA89" s="62">
        <v>267.25</v>
      </c>
      <c r="BB89" s="62"/>
      <c r="BC89" s="62">
        <v>206.89</v>
      </c>
      <c r="BD89" s="62"/>
      <c r="BE89" s="110">
        <v>26.84</v>
      </c>
      <c r="BF89" s="109">
        <v>8.6999999999999993</v>
      </c>
      <c r="BG89" s="62"/>
      <c r="BH89" s="62"/>
      <c r="BI89" s="110"/>
      <c r="BJ89" s="426">
        <f t="shared" si="49"/>
        <v>267.25</v>
      </c>
      <c r="BK89" s="46" t="e">
        <f>BA89/AZ89</f>
        <v>#DIV/0!</v>
      </c>
      <c r="BL89" s="428"/>
      <c r="BM89" s="61">
        <v>34.395159999999997</v>
      </c>
      <c r="BN89" s="62"/>
      <c r="BO89" s="470"/>
      <c r="BP89" s="64"/>
      <c r="BQ89" s="61"/>
      <c r="BR89" s="65"/>
      <c r="BS89" s="66"/>
      <c r="BT89" s="64"/>
      <c r="BU89" s="61"/>
      <c r="BV89" s="65"/>
      <c r="BW89" s="66"/>
      <c r="BX89" s="431"/>
      <c r="BY89" s="68"/>
      <c r="BZ89" s="69">
        <f t="shared" si="50"/>
        <v>63.785159999999998</v>
      </c>
      <c r="CA89" s="70"/>
      <c r="CB89" s="71"/>
      <c r="CC89" s="72">
        <f t="shared" si="51"/>
        <v>-452.22483999999997</v>
      </c>
      <c r="CD89" s="434">
        <v>380.9</v>
      </c>
      <c r="CE89" s="62"/>
      <c r="CF89" s="73"/>
      <c r="CG89" s="74"/>
      <c r="CH89" s="74"/>
      <c r="CI89" s="74"/>
      <c r="CJ89" s="74"/>
      <c r="CK89" s="74"/>
      <c r="CL89" s="74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31">
        <v>516.01</v>
      </c>
      <c r="DB89" s="31">
        <v>1629.86</v>
      </c>
      <c r="DC89" s="31">
        <v>2091.58</v>
      </c>
      <c r="DD89" s="862">
        <v>927.35</v>
      </c>
      <c r="DE89" s="31">
        <v>2091.58</v>
      </c>
      <c r="DF89" s="31">
        <f t="shared" si="47"/>
        <v>1045.79</v>
      </c>
      <c r="DG89" s="134">
        <f>DF89</f>
        <v>1045.79</v>
      </c>
      <c r="DH89" s="835"/>
      <c r="DI89" s="826"/>
      <c r="DJ89" s="788"/>
    </row>
    <row r="90" spans="1:114" s="783" customFormat="1" hidden="1">
      <c r="A90" s="177"/>
      <c r="B90" s="187" t="s">
        <v>26</v>
      </c>
      <c r="C90" s="837" t="s">
        <v>54</v>
      </c>
      <c r="D90" s="31">
        <v>2665.39</v>
      </c>
      <c r="E90" s="31">
        <v>2617.35</v>
      </c>
      <c r="F90" s="31">
        <f>2617.35+147.4</f>
        <v>2764.75</v>
      </c>
      <c r="G90" s="31">
        <f>2617.35+147.4</f>
        <v>2764.75</v>
      </c>
      <c r="H90" s="134">
        <v>1375.79</v>
      </c>
      <c r="I90" s="134">
        <f>G90-H90</f>
        <v>1388.96</v>
      </c>
      <c r="J90" s="134">
        <v>182.05</v>
      </c>
      <c r="K90" s="134">
        <f>I90-J90</f>
        <v>1206.9100000000001</v>
      </c>
      <c r="L90" s="134">
        <f>G90/12</f>
        <v>230.39583333333334</v>
      </c>
      <c r="M90" s="134">
        <v>153.05000000000001</v>
      </c>
      <c r="N90" s="134">
        <f>H90/12</f>
        <v>114.64916666666666</v>
      </c>
      <c r="O90" s="134"/>
      <c r="P90" s="134"/>
      <c r="Q90" s="134"/>
      <c r="R90" s="134">
        <f>J90/12</f>
        <v>15.170833333333334</v>
      </c>
      <c r="S90" s="134"/>
      <c r="T90" s="134">
        <f>K90/12</f>
        <v>100.57583333333334</v>
      </c>
      <c r="U90" s="134"/>
      <c r="V90" s="134"/>
      <c r="W90" s="134"/>
      <c r="X90" s="51">
        <f>O90-N90</f>
        <v>-114.64916666666666</v>
      </c>
      <c r="Y90" s="55">
        <f>O90/N90</f>
        <v>0</v>
      </c>
      <c r="Z90" s="134">
        <v>173</v>
      </c>
      <c r="AA90" s="134">
        <v>150.68</v>
      </c>
      <c r="AB90" s="134">
        <v>114.65</v>
      </c>
      <c r="AC90" s="134"/>
      <c r="AD90" s="134">
        <v>15.17</v>
      </c>
      <c r="AE90" s="134"/>
      <c r="AF90" s="134">
        <v>43.177500000000002</v>
      </c>
      <c r="AG90" s="134"/>
      <c r="AH90" s="134"/>
      <c r="AI90" s="134"/>
      <c r="AJ90" s="51">
        <f>AC90-AB90</f>
        <v>-114.65</v>
      </c>
      <c r="AK90" s="56">
        <f>AC90/AB90</f>
        <v>0</v>
      </c>
      <c r="AL90" s="134">
        <v>173</v>
      </c>
      <c r="AM90" s="134">
        <v>150.68</v>
      </c>
      <c r="AN90" s="134">
        <v>114.65</v>
      </c>
      <c r="AO90" s="134"/>
      <c r="AP90" s="134">
        <v>15.17</v>
      </c>
      <c r="AQ90" s="134"/>
      <c r="AR90" s="134">
        <v>43.177500000000002</v>
      </c>
      <c r="AS90" s="134"/>
      <c r="AT90" s="134"/>
      <c r="AU90" s="134"/>
      <c r="AV90" s="51">
        <f>AO90-AN90</f>
        <v>-114.65</v>
      </c>
      <c r="AW90" s="56">
        <f>AO90/AN90</f>
        <v>0</v>
      </c>
      <c r="AX90" s="31">
        <f t="shared" si="37"/>
        <v>1382.375</v>
      </c>
      <c r="AY90" s="31">
        <v>2433</v>
      </c>
      <c r="AZ90" s="109"/>
      <c r="BA90" s="62">
        <v>1374.67</v>
      </c>
      <c r="BB90" s="62"/>
      <c r="BC90" s="62">
        <v>1044.69</v>
      </c>
      <c r="BD90" s="62"/>
      <c r="BE90" s="110">
        <v>121.76</v>
      </c>
      <c r="BF90" s="109">
        <v>39.479999999999997</v>
      </c>
      <c r="BG90" s="62"/>
      <c r="BH90" s="62"/>
      <c r="BI90" s="110"/>
      <c r="BJ90" s="426">
        <f t="shared" si="49"/>
        <v>1374.67</v>
      </c>
      <c r="BK90" s="46" t="e">
        <f>BA90/AZ90</f>
        <v>#DIV/0!</v>
      </c>
      <c r="BL90" s="428"/>
      <c r="BM90" s="61">
        <v>150.67670000000001</v>
      </c>
      <c r="BN90" s="62"/>
      <c r="BO90" s="470"/>
      <c r="BP90" s="64"/>
      <c r="BQ90" s="61"/>
      <c r="BR90" s="65"/>
      <c r="BS90" s="66"/>
      <c r="BT90" s="64"/>
      <c r="BU90" s="61"/>
      <c r="BV90" s="65"/>
      <c r="BW90" s="66"/>
      <c r="BX90" s="431"/>
      <c r="BY90" s="68"/>
      <c r="BZ90" s="69">
        <f t="shared" si="50"/>
        <v>303.72670000000005</v>
      </c>
      <c r="CA90" s="70"/>
      <c r="CB90" s="71"/>
      <c r="CC90" s="72">
        <f t="shared" si="51"/>
        <v>-2313.6232999999997</v>
      </c>
      <c r="CD90" s="434">
        <f>BZ90-CE90</f>
        <v>167.52670000000006</v>
      </c>
      <c r="CE90" s="62">
        <v>136.19999999999999</v>
      </c>
      <c r="CF90" s="73"/>
      <c r="CG90" s="74"/>
      <c r="CH90" s="74"/>
      <c r="CI90" s="74"/>
      <c r="CJ90" s="74"/>
      <c r="CK90" s="74"/>
      <c r="CL90" s="74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31">
        <v>2617.35</v>
      </c>
      <c r="DB90" s="31">
        <f>2617.35+147.4</f>
        <v>2764.75</v>
      </c>
      <c r="DC90" s="31">
        <v>3344.29</v>
      </c>
      <c r="DD90" s="862">
        <v>3790.48</v>
      </c>
      <c r="DE90" s="31">
        <v>3344.29</v>
      </c>
      <c r="DF90" s="31">
        <f t="shared" si="47"/>
        <v>1672.145</v>
      </c>
      <c r="DG90" s="134">
        <f>DF90</f>
        <v>1672.145</v>
      </c>
      <c r="DI90" s="826"/>
      <c r="DJ90" s="788"/>
    </row>
    <row r="91" spans="1:114" s="783" customFormat="1" hidden="1">
      <c r="A91" s="194"/>
      <c r="B91" s="195" t="s">
        <v>120</v>
      </c>
      <c r="C91" s="837" t="s">
        <v>54</v>
      </c>
      <c r="D91" s="31">
        <v>209.15</v>
      </c>
      <c r="E91" s="31">
        <v>284.45999999999998</v>
      </c>
      <c r="F91" s="31">
        <v>284.45999999999998</v>
      </c>
      <c r="G91" s="31">
        <v>284.45999999999998</v>
      </c>
      <c r="H91" s="145"/>
      <c r="I91" s="145"/>
      <c r="J91" s="145"/>
      <c r="K91" s="145"/>
      <c r="L91" s="145">
        <f>G91/12</f>
        <v>23.704999999999998</v>
      </c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96"/>
      <c r="Y91" s="197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96"/>
      <c r="AK91" s="198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96"/>
      <c r="AW91" s="198"/>
      <c r="AX91" s="144">
        <f t="shared" si="37"/>
        <v>142.22999999999999</v>
      </c>
      <c r="AY91" s="31">
        <v>261.92</v>
      </c>
      <c r="AZ91" s="149"/>
      <c r="BA91" s="62">
        <v>165.91</v>
      </c>
      <c r="BB91" s="150"/>
      <c r="BC91" s="62">
        <v>98.19</v>
      </c>
      <c r="BD91" s="150"/>
      <c r="BE91" s="110">
        <v>12.08</v>
      </c>
      <c r="BF91" s="109">
        <v>3.9</v>
      </c>
      <c r="BG91" s="150"/>
      <c r="BH91" s="150"/>
      <c r="BI91" s="151"/>
      <c r="BJ91" s="435"/>
      <c r="BK91" s="482"/>
      <c r="BL91" s="437"/>
      <c r="BM91" s="483"/>
      <c r="BN91" s="150"/>
      <c r="BO91" s="484"/>
      <c r="BP91" s="485"/>
      <c r="BQ91" s="483"/>
      <c r="BR91" s="486"/>
      <c r="BS91" s="487"/>
      <c r="BT91" s="485"/>
      <c r="BU91" s="483"/>
      <c r="BV91" s="486"/>
      <c r="BW91" s="487"/>
      <c r="BX91" s="440"/>
      <c r="BY91" s="488"/>
      <c r="BZ91" s="489"/>
      <c r="CA91" s="490"/>
      <c r="CB91" s="491"/>
      <c r="CC91" s="246"/>
      <c r="CD91" s="443"/>
      <c r="CE91" s="150"/>
      <c r="CF91" s="492"/>
      <c r="CG91" s="74"/>
      <c r="CH91" s="74"/>
      <c r="CI91" s="74"/>
      <c r="CJ91" s="74"/>
      <c r="CK91" s="74"/>
      <c r="CL91" s="74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31">
        <v>284.45999999999998</v>
      </c>
      <c r="DB91" s="31">
        <v>284.45999999999998</v>
      </c>
      <c r="DC91" s="31">
        <v>371.9</v>
      </c>
      <c r="DD91" s="862">
        <v>258.64</v>
      </c>
      <c r="DE91" s="31">
        <v>371.9</v>
      </c>
      <c r="DF91" s="31">
        <f t="shared" si="47"/>
        <v>185.95</v>
      </c>
      <c r="DG91" s="134">
        <f>DF91</f>
        <v>185.95</v>
      </c>
      <c r="DI91" s="826"/>
      <c r="DJ91" s="788"/>
    </row>
    <row r="92" spans="1:114" s="783" customFormat="1" ht="23.25" customHeight="1">
      <c r="A92" s="177" t="s">
        <v>256</v>
      </c>
      <c r="B92" s="178" t="s">
        <v>293</v>
      </c>
      <c r="C92" s="834" t="s">
        <v>54</v>
      </c>
      <c r="D92" s="179">
        <f>SUM(D93,D94,D97,D98,D99,D109)</f>
        <v>11763.16</v>
      </c>
      <c r="E92" s="179">
        <f>SUM(E93,E94,E97,E98,E99,E109)</f>
        <v>12546.7</v>
      </c>
      <c r="F92" s="179">
        <f>SUM(F93,F94,F97,F98,F99,F109)</f>
        <v>12138.880000000001</v>
      </c>
      <c r="G92" s="179">
        <f>SUM(G93,G94,G97,G98,G99,G109)</f>
        <v>11898.020000000002</v>
      </c>
      <c r="H92" s="180">
        <f t="shared" ref="H92:N92" si="52">SUM(H95:H134)</f>
        <v>533.58000000000004</v>
      </c>
      <c r="I92" s="180">
        <f t="shared" si="52"/>
        <v>141.82999999999998</v>
      </c>
      <c r="J92" s="180">
        <f t="shared" si="52"/>
        <v>36.880000000000003</v>
      </c>
      <c r="K92" s="180">
        <f t="shared" si="52"/>
        <v>104.95</v>
      </c>
      <c r="L92" s="180">
        <f t="shared" si="52"/>
        <v>55.645000000000003</v>
      </c>
      <c r="M92" s="180">
        <f t="shared" si="52"/>
        <v>65.555710000000005</v>
      </c>
      <c r="N92" s="180">
        <f t="shared" si="52"/>
        <v>43.96</v>
      </c>
      <c r="O92" s="180">
        <v>11.61</v>
      </c>
      <c r="P92" s="180">
        <v>0</v>
      </c>
      <c r="Q92" s="180"/>
      <c r="R92" s="180">
        <f>SUM(R95:R134)</f>
        <v>3.0379999999999998</v>
      </c>
      <c r="S92" s="180">
        <f>SUM(S95:S134)</f>
        <v>3.04</v>
      </c>
      <c r="T92" s="180">
        <f>SUM(T95:T134)</f>
        <v>8.6479999999999997</v>
      </c>
      <c r="U92" s="180">
        <f>SUM(U95:U134)</f>
        <v>8.65</v>
      </c>
      <c r="V92" s="180">
        <v>0</v>
      </c>
      <c r="W92" s="180"/>
      <c r="X92" s="181"/>
      <c r="Y92" s="191"/>
      <c r="Z92" s="180">
        <f t="shared" ref="Z92:AG92" si="53">SUM(Z95:Z134)</f>
        <v>55.65</v>
      </c>
      <c r="AA92" s="180">
        <f t="shared" si="53"/>
        <v>49.76</v>
      </c>
      <c r="AB92" s="180">
        <f t="shared" si="53"/>
        <v>43.96</v>
      </c>
      <c r="AC92" s="180">
        <f t="shared" si="53"/>
        <v>0</v>
      </c>
      <c r="AD92" s="180">
        <f t="shared" si="53"/>
        <v>3.04</v>
      </c>
      <c r="AE92" s="180">
        <f t="shared" si="53"/>
        <v>0</v>
      </c>
      <c r="AF92" s="180">
        <f t="shared" si="53"/>
        <v>8.65</v>
      </c>
      <c r="AG92" s="180">
        <f t="shared" si="53"/>
        <v>0</v>
      </c>
      <c r="AH92" s="180"/>
      <c r="AI92" s="180"/>
      <c r="AJ92" s="181"/>
      <c r="AK92" s="192"/>
      <c r="AL92" s="180">
        <f t="shared" ref="AL92:AS92" si="54">SUM(AL95:AL134)</f>
        <v>55.65</v>
      </c>
      <c r="AM92" s="180">
        <f t="shared" si="54"/>
        <v>49.76</v>
      </c>
      <c r="AN92" s="180">
        <f t="shared" si="54"/>
        <v>43.96</v>
      </c>
      <c r="AO92" s="180">
        <f t="shared" si="54"/>
        <v>0</v>
      </c>
      <c r="AP92" s="180">
        <f t="shared" si="54"/>
        <v>3.04</v>
      </c>
      <c r="AQ92" s="180">
        <f t="shared" si="54"/>
        <v>0</v>
      </c>
      <c r="AR92" s="180">
        <f t="shared" si="54"/>
        <v>8.65</v>
      </c>
      <c r="AS92" s="180">
        <f t="shared" si="54"/>
        <v>0</v>
      </c>
      <c r="AT92" s="180"/>
      <c r="AU92" s="180"/>
      <c r="AV92" s="181"/>
      <c r="AW92" s="192"/>
      <c r="AX92" s="179">
        <f t="shared" si="37"/>
        <v>5949.0100000000011</v>
      </c>
      <c r="AY92" s="179">
        <f>SUM(AY93,AY94,AY97,AY98,AY99,AY109)</f>
        <v>7919.7199999999993</v>
      </c>
      <c r="AZ92" s="184">
        <f>H92/4</f>
        <v>133.39500000000001</v>
      </c>
      <c r="BA92" s="185">
        <f>SUM(BA93,BA94,BA97,BA99,BA109)</f>
        <v>3156.2900000000004</v>
      </c>
      <c r="BB92" s="185">
        <f t="shared" ref="BB92:BG92" si="55">SUM(BB93,BB94,BB97,BB99,BB109)</f>
        <v>0</v>
      </c>
      <c r="BC92" s="185">
        <f t="shared" si="55"/>
        <v>574.95000000000005</v>
      </c>
      <c r="BD92" s="185">
        <f t="shared" si="55"/>
        <v>0</v>
      </c>
      <c r="BE92" s="186">
        <f t="shared" si="55"/>
        <v>7.46</v>
      </c>
      <c r="BF92" s="184">
        <f t="shared" si="55"/>
        <v>282.43</v>
      </c>
      <c r="BG92" s="185">
        <f t="shared" si="55"/>
        <v>320.49</v>
      </c>
      <c r="BH92" s="185"/>
      <c r="BI92" s="186"/>
      <c r="BJ92" s="426">
        <f>BA92-AZ92</f>
        <v>3022.8950000000004</v>
      </c>
      <c r="BK92" s="481"/>
      <c r="BL92" s="468"/>
      <c r="BM92" s="469">
        <f>SUM(BM95:BM134)</f>
        <v>49.757379999999998</v>
      </c>
      <c r="BN92" s="264"/>
      <c r="BO92" s="470"/>
      <c r="BP92" s="471"/>
      <c r="BQ92" s="469"/>
      <c r="BR92" s="472"/>
      <c r="BS92" s="473"/>
      <c r="BT92" s="471"/>
      <c r="BU92" s="469"/>
      <c r="BV92" s="472"/>
      <c r="BW92" s="473"/>
      <c r="BX92" s="474">
        <v>70.36</v>
      </c>
      <c r="BY92" s="475">
        <f>F92</f>
        <v>12138.880000000001</v>
      </c>
      <c r="BZ92" s="320">
        <f>M92+BM92+BQ92+BU92</f>
        <v>115.31309</v>
      </c>
      <c r="CA92" s="469">
        <f>BZ92-BY92</f>
        <v>-12023.566910000001</v>
      </c>
      <c r="CB92" s="476">
        <v>0</v>
      </c>
      <c r="CC92" s="307">
        <f>BZ92-E92</f>
        <v>-12431.386910000001</v>
      </c>
      <c r="CD92" s="477">
        <f>SUM(CD95:CD134)</f>
        <v>956.95999999999992</v>
      </c>
      <c r="CE92" s="185">
        <f>SUM(CE95:CE134)</f>
        <v>25.04</v>
      </c>
      <c r="CF92" s="478"/>
      <c r="CG92" s="465"/>
      <c r="CH92" s="465"/>
      <c r="CI92" s="465"/>
      <c r="CJ92" s="465"/>
      <c r="CK92" s="465"/>
      <c r="CL92" s="465"/>
      <c r="CM92" s="466"/>
      <c r="CN92" s="466"/>
      <c r="CO92" s="466"/>
      <c r="CP92" s="466"/>
      <c r="CQ92" s="466"/>
      <c r="CR92" s="466"/>
      <c r="CS92" s="466"/>
      <c r="CT92" s="466"/>
      <c r="CU92" s="466"/>
      <c r="CV92" s="466"/>
      <c r="CW92" s="466"/>
      <c r="CX92" s="466"/>
      <c r="CY92" s="466"/>
      <c r="CZ92" s="466"/>
      <c r="DA92" s="179" t="e">
        <f>SUM(DA93,DA94,DA97,DA99,DA109,DA98)</f>
        <v>#REF!</v>
      </c>
      <c r="DB92" s="179">
        <f>SUM(DB93,DB94,DB97,DB99,DB109,DB98)</f>
        <v>13013.770000000002</v>
      </c>
      <c r="DC92" s="179">
        <v>10435.31</v>
      </c>
      <c r="DD92" s="861">
        <v>9342.93</v>
      </c>
      <c r="DE92" s="179">
        <v>12617.46</v>
      </c>
      <c r="DF92" s="179">
        <f>SUM(DF93,DF94,DF97,DF98,DF99,DF109)</f>
        <v>4809.1350000000002</v>
      </c>
      <c r="DG92" s="179">
        <f>SUM(DG93,DG94,DG97,DG98,DG99,DG109)</f>
        <v>5509.1350000000002</v>
      </c>
      <c r="DI92" s="826"/>
      <c r="DJ92" s="788"/>
    </row>
    <row r="93" spans="1:114" s="783" customFormat="1" hidden="1">
      <c r="A93" s="194" t="s">
        <v>258</v>
      </c>
      <c r="B93" s="199" t="s">
        <v>171</v>
      </c>
      <c r="C93" s="834" t="s">
        <v>54</v>
      </c>
      <c r="D93" s="179">
        <v>91.8</v>
      </c>
      <c r="E93" s="179">
        <v>97.3</v>
      </c>
      <c r="F93" s="179">
        <v>105.5</v>
      </c>
      <c r="G93" s="179">
        <v>105.5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1"/>
      <c r="Y93" s="202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1"/>
      <c r="AK93" s="203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1"/>
      <c r="AW93" s="203"/>
      <c r="AX93" s="193">
        <f t="shared" si="37"/>
        <v>52.75</v>
      </c>
      <c r="AY93" s="193">
        <v>116.85</v>
      </c>
      <c r="AZ93" s="204"/>
      <c r="BA93" s="185">
        <v>57.33</v>
      </c>
      <c r="BB93" s="205"/>
      <c r="BC93" s="185">
        <v>31.68</v>
      </c>
      <c r="BD93" s="205"/>
      <c r="BE93" s="206">
        <v>2.8</v>
      </c>
      <c r="BF93" s="204">
        <v>21.05</v>
      </c>
      <c r="BG93" s="205"/>
      <c r="BH93" s="205"/>
      <c r="BI93" s="206"/>
      <c r="BJ93" s="435"/>
      <c r="BK93" s="493"/>
      <c r="BL93" s="494"/>
      <c r="BM93" s="495"/>
      <c r="BN93" s="205"/>
      <c r="BO93" s="484"/>
      <c r="BP93" s="496"/>
      <c r="BQ93" s="495"/>
      <c r="BR93" s="497"/>
      <c r="BS93" s="498"/>
      <c r="BT93" s="496"/>
      <c r="BU93" s="495"/>
      <c r="BV93" s="497"/>
      <c r="BW93" s="498"/>
      <c r="BX93" s="499"/>
      <c r="BY93" s="500"/>
      <c r="BZ93" s="501"/>
      <c r="CA93" s="502"/>
      <c r="CB93" s="503"/>
      <c r="CC93" s="282"/>
      <c r="CD93" s="504"/>
      <c r="CE93" s="205"/>
      <c r="CF93" s="505"/>
      <c r="CG93" s="465"/>
      <c r="CH93" s="465"/>
      <c r="CI93" s="465"/>
      <c r="CJ93" s="465"/>
      <c r="CK93" s="465"/>
      <c r="CL93" s="465"/>
      <c r="CM93" s="466"/>
      <c r="CN93" s="466"/>
      <c r="CO93" s="466"/>
      <c r="CP93" s="466"/>
      <c r="CQ93" s="466"/>
      <c r="CR93" s="466"/>
      <c r="CS93" s="466"/>
      <c r="CT93" s="466"/>
      <c r="CU93" s="466"/>
      <c r="CV93" s="466"/>
      <c r="CW93" s="466"/>
      <c r="CX93" s="466"/>
      <c r="CY93" s="466"/>
      <c r="CZ93" s="466"/>
      <c r="DA93" s="193">
        <v>97.3</v>
      </c>
      <c r="DB93" s="193">
        <v>116.85</v>
      </c>
      <c r="DC93" s="179">
        <v>106.38</v>
      </c>
      <c r="DD93" s="861">
        <v>90.84</v>
      </c>
      <c r="DE93" s="179">
        <v>106.38</v>
      </c>
      <c r="DF93" s="31">
        <f t="shared" si="47"/>
        <v>53.19</v>
      </c>
      <c r="DG93" s="134">
        <f>DF93</f>
        <v>53.19</v>
      </c>
      <c r="DH93" s="835"/>
      <c r="DI93" s="826"/>
      <c r="DJ93" s="788"/>
    </row>
    <row r="94" spans="1:114" s="783" customFormat="1" hidden="1">
      <c r="A94" s="194" t="s">
        <v>259</v>
      </c>
      <c r="B94" s="199" t="s">
        <v>172</v>
      </c>
      <c r="C94" s="834" t="s">
        <v>54</v>
      </c>
      <c r="D94" s="179">
        <f>SUM(D95,D96)</f>
        <v>104.96000000000001</v>
      </c>
      <c r="E94" s="179">
        <f>SUM(E95,E96)</f>
        <v>106.62</v>
      </c>
      <c r="F94" s="179">
        <f>SUM(F95,F96)</f>
        <v>110.19</v>
      </c>
      <c r="G94" s="179">
        <f>SUM(G95,G96)</f>
        <v>110.19</v>
      </c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1"/>
      <c r="Y94" s="202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1"/>
      <c r="AK94" s="203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1"/>
      <c r="AW94" s="203"/>
      <c r="AX94" s="193">
        <f t="shared" si="37"/>
        <v>55.094999999999999</v>
      </c>
      <c r="AY94" s="193">
        <f>SUM(AY95,AY96)</f>
        <v>115.44000000000001</v>
      </c>
      <c r="AZ94" s="204"/>
      <c r="BA94" s="185">
        <f>SUM(BA95:BA96)</f>
        <v>64.69</v>
      </c>
      <c r="BB94" s="185">
        <f t="shared" ref="BB94:BG94" si="56">SUM(BB95:BB96)</f>
        <v>0</v>
      </c>
      <c r="BC94" s="185">
        <f t="shared" si="56"/>
        <v>36.080000000000005</v>
      </c>
      <c r="BD94" s="185">
        <f t="shared" si="56"/>
        <v>0</v>
      </c>
      <c r="BE94" s="186">
        <f t="shared" si="56"/>
        <v>4.1900000000000004</v>
      </c>
      <c r="BF94" s="184">
        <f t="shared" si="56"/>
        <v>19.72</v>
      </c>
      <c r="BG94" s="185">
        <f t="shared" si="56"/>
        <v>0</v>
      </c>
      <c r="BH94" s="205"/>
      <c r="BI94" s="206"/>
      <c r="BJ94" s="435"/>
      <c r="BK94" s="493"/>
      <c r="BL94" s="494"/>
      <c r="BM94" s="495"/>
      <c r="BN94" s="205"/>
      <c r="BO94" s="484"/>
      <c r="BP94" s="496"/>
      <c r="BQ94" s="495"/>
      <c r="BR94" s="497"/>
      <c r="BS94" s="498"/>
      <c r="BT94" s="496"/>
      <c r="BU94" s="495"/>
      <c r="BV94" s="497"/>
      <c r="BW94" s="498"/>
      <c r="BX94" s="499"/>
      <c r="BY94" s="500"/>
      <c r="BZ94" s="501"/>
      <c r="CA94" s="502"/>
      <c r="CB94" s="503"/>
      <c r="CC94" s="282"/>
      <c r="CD94" s="504"/>
      <c r="CE94" s="205"/>
      <c r="CF94" s="505"/>
      <c r="CG94" s="465"/>
      <c r="CH94" s="465"/>
      <c r="CI94" s="465"/>
      <c r="CJ94" s="465"/>
      <c r="CK94" s="465"/>
      <c r="CL94" s="465"/>
      <c r="CM94" s="466"/>
      <c r="CN94" s="466"/>
      <c r="CO94" s="466"/>
      <c r="CP94" s="466"/>
      <c r="CQ94" s="466"/>
      <c r="CR94" s="466"/>
      <c r="CS94" s="466"/>
      <c r="CT94" s="466"/>
      <c r="CU94" s="466"/>
      <c r="CV94" s="466"/>
      <c r="CW94" s="466"/>
      <c r="CX94" s="466"/>
      <c r="CY94" s="466"/>
      <c r="CZ94" s="466"/>
      <c r="DA94" s="193">
        <f>SUM(DA95,DA96)</f>
        <v>106.62</v>
      </c>
      <c r="DB94" s="193">
        <f>SUM(DB95,DB96)</f>
        <v>115.44000000000001</v>
      </c>
      <c r="DC94" s="179">
        <f>SUM(DC95,DC96)</f>
        <v>115.44000000000001</v>
      </c>
      <c r="DD94" s="861">
        <f>SUM(DD95,DD96)</f>
        <v>115.44000000000001</v>
      </c>
      <c r="DE94" s="179">
        <f>SUM(DE95,DE96)</f>
        <v>115.44000000000001</v>
      </c>
      <c r="DF94" s="31">
        <f t="shared" si="47"/>
        <v>57.720000000000006</v>
      </c>
      <c r="DG94" s="134">
        <f>DF94</f>
        <v>57.720000000000006</v>
      </c>
      <c r="DI94" s="826"/>
      <c r="DJ94" s="788"/>
    </row>
    <row r="95" spans="1:114" s="783" customFormat="1" hidden="1">
      <c r="A95" s="177"/>
      <c r="B95" s="187" t="s">
        <v>4</v>
      </c>
      <c r="C95" s="836" t="s">
        <v>54</v>
      </c>
      <c r="D95" s="31">
        <v>96.26</v>
      </c>
      <c r="E95" s="31">
        <v>96.26</v>
      </c>
      <c r="F95" s="31">
        <v>99.83</v>
      </c>
      <c r="G95" s="31">
        <v>99.83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>
        <v>0</v>
      </c>
      <c r="R95" s="134"/>
      <c r="S95" s="134"/>
      <c r="T95" s="134"/>
      <c r="U95" s="134"/>
      <c r="V95" s="134"/>
      <c r="W95" s="134"/>
      <c r="X95" s="54"/>
      <c r="Y95" s="55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54"/>
      <c r="AK95" s="56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54"/>
      <c r="AW95" s="56"/>
      <c r="AX95" s="179"/>
      <c r="AY95" s="31">
        <v>112.4</v>
      </c>
      <c r="AZ95" s="184"/>
      <c r="BA95" s="62">
        <v>58.95</v>
      </c>
      <c r="BB95" s="62"/>
      <c r="BC95" s="62">
        <v>32.270000000000003</v>
      </c>
      <c r="BD95" s="62"/>
      <c r="BE95" s="110">
        <v>3.68</v>
      </c>
      <c r="BF95" s="109">
        <v>17.14</v>
      </c>
      <c r="BG95" s="62"/>
      <c r="BH95" s="62"/>
      <c r="BI95" s="110"/>
      <c r="BJ95" s="426">
        <f>BA95-AZ95</f>
        <v>58.95</v>
      </c>
      <c r="BK95" s="46"/>
      <c r="BL95" s="428"/>
      <c r="BM95" s="61"/>
      <c r="BN95" s="62"/>
      <c r="BO95" s="470"/>
      <c r="BP95" s="64"/>
      <c r="BQ95" s="61"/>
      <c r="BR95" s="65"/>
      <c r="BS95" s="66"/>
      <c r="BT95" s="64"/>
      <c r="BU95" s="61"/>
      <c r="BV95" s="65"/>
      <c r="BW95" s="66"/>
      <c r="BX95" s="431"/>
      <c r="BY95" s="68"/>
      <c r="BZ95" s="69">
        <f>M95+BM95+BQ95+BU95</f>
        <v>0</v>
      </c>
      <c r="CA95" s="70"/>
      <c r="CB95" s="71"/>
      <c r="CC95" s="72">
        <f>BZ95-E95</f>
        <v>-96.26</v>
      </c>
      <c r="CD95" s="434">
        <v>20.54</v>
      </c>
      <c r="CE95" s="62">
        <v>5.14</v>
      </c>
      <c r="CF95" s="73"/>
      <c r="CG95" s="74"/>
      <c r="CH95" s="74"/>
      <c r="CI95" s="74"/>
      <c r="CJ95" s="74"/>
      <c r="CK95" s="74"/>
      <c r="CL95" s="74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31">
        <v>96.26</v>
      </c>
      <c r="DB95" s="31">
        <v>112.4</v>
      </c>
      <c r="DC95" s="31">
        <v>112.4</v>
      </c>
      <c r="DD95" s="862">
        <v>112.4</v>
      </c>
      <c r="DE95" s="31">
        <v>112.4</v>
      </c>
      <c r="DF95" s="31">
        <f t="shared" si="47"/>
        <v>56.2</v>
      </c>
      <c r="DG95" s="134">
        <f>DF95</f>
        <v>56.2</v>
      </c>
      <c r="DI95" s="826"/>
      <c r="DJ95" s="788"/>
    </row>
    <row r="96" spans="1:114" s="783" customFormat="1" hidden="1">
      <c r="A96" s="177"/>
      <c r="B96" s="187" t="s">
        <v>239</v>
      </c>
      <c r="C96" s="836" t="s">
        <v>54</v>
      </c>
      <c r="D96" s="31">
        <v>8.6999999999999993</v>
      </c>
      <c r="E96" s="31">
        <v>10.36</v>
      </c>
      <c r="F96" s="31">
        <v>10.36</v>
      </c>
      <c r="G96" s="31">
        <v>10.36</v>
      </c>
      <c r="H96" s="134">
        <v>76.53</v>
      </c>
      <c r="I96" s="134">
        <v>20.34</v>
      </c>
      <c r="J96" s="134">
        <v>5.29</v>
      </c>
      <c r="K96" s="134">
        <v>15.05</v>
      </c>
      <c r="L96" s="134"/>
      <c r="M96" s="134"/>
      <c r="N96" s="134"/>
      <c r="O96" s="134"/>
      <c r="P96" s="134"/>
      <c r="Q96" s="134">
        <v>0</v>
      </c>
      <c r="R96" s="134"/>
      <c r="S96" s="134"/>
      <c r="T96" s="134"/>
      <c r="U96" s="134"/>
      <c r="V96" s="134"/>
      <c r="W96" s="134"/>
      <c r="X96" s="54"/>
      <c r="Y96" s="55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54"/>
      <c r="AK96" s="56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54"/>
      <c r="AW96" s="56"/>
      <c r="AX96" s="179">
        <f>G96/2</f>
        <v>5.18</v>
      </c>
      <c r="AY96" s="31">
        <v>3.04</v>
      </c>
      <c r="AZ96" s="109"/>
      <c r="BA96" s="62">
        <v>5.74</v>
      </c>
      <c r="BB96" s="62"/>
      <c r="BC96" s="62">
        <v>3.81</v>
      </c>
      <c r="BD96" s="62"/>
      <c r="BE96" s="110">
        <v>0.51</v>
      </c>
      <c r="BF96" s="109">
        <v>2.58</v>
      </c>
      <c r="BG96" s="62"/>
      <c r="BH96" s="62"/>
      <c r="BI96" s="110"/>
      <c r="BJ96" s="426">
        <f>BA96-AZ96</f>
        <v>5.74</v>
      </c>
      <c r="BK96" s="46"/>
      <c r="BL96" s="428"/>
      <c r="BM96" s="61"/>
      <c r="BN96" s="62"/>
      <c r="BO96" s="470"/>
      <c r="BP96" s="64"/>
      <c r="BQ96" s="61"/>
      <c r="BR96" s="65"/>
      <c r="BS96" s="66"/>
      <c r="BT96" s="64"/>
      <c r="BU96" s="61"/>
      <c r="BV96" s="65"/>
      <c r="BW96" s="66"/>
      <c r="BX96" s="431"/>
      <c r="BY96" s="68"/>
      <c r="BZ96" s="69">
        <v>99.41</v>
      </c>
      <c r="CA96" s="70"/>
      <c r="CB96" s="71"/>
      <c r="CC96" s="72">
        <f>BZ96-E96</f>
        <v>89.05</v>
      </c>
      <c r="CD96" s="434">
        <v>79.510000000000005</v>
      </c>
      <c r="CE96" s="62">
        <v>19.899999999999999</v>
      </c>
      <c r="CF96" s="73"/>
      <c r="CG96" s="74"/>
      <c r="CH96" s="74"/>
      <c r="CI96" s="74"/>
      <c r="CJ96" s="74"/>
      <c r="CK96" s="74"/>
      <c r="CL96" s="74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31">
        <v>10.36</v>
      </c>
      <c r="DB96" s="31">
        <v>3.04</v>
      </c>
      <c r="DC96" s="31">
        <v>3.04</v>
      </c>
      <c r="DD96" s="862">
        <v>3.04</v>
      </c>
      <c r="DE96" s="31">
        <v>3.04</v>
      </c>
      <c r="DF96" s="31">
        <f t="shared" si="47"/>
        <v>1.52</v>
      </c>
      <c r="DG96" s="134">
        <f>DF96</f>
        <v>1.52</v>
      </c>
      <c r="DI96" s="826"/>
      <c r="DJ96" s="788"/>
    </row>
    <row r="97" spans="1:114" s="783" customFormat="1" hidden="1">
      <c r="A97" s="194" t="s">
        <v>260</v>
      </c>
      <c r="B97" s="199" t="s">
        <v>173</v>
      </c>
      <c r="C97" s="834" t="s">
        <v>54</v>
      </c>
      <c r="D97" s="179">
        <v>273.27</v>
      </c>
      <c r="E97" s="179">
        <v>0</v>
      </c>
      <c r="F97" s="179">
        <v>0</v>
      </c>
      <c r="G97" s="179">
        <v>0</v>
      </c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1"/>
      <c r="Y97" s="202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1"/>
      <c r="AK97" s="203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1"/>
      <c r="AW97" s="203"/>
      <c r="AX97" s="193"/>
      <c r="AY97" s="193">
        <v>313.64999999999998</v>
      </c>
      <c r="AZ97" s="204"/>
      <c r="BA97" s="185">
        <v>273.27</v>
      </c>
      <c r="BB97" s="205"/>
      <c r="BC97" s="185">
        <v>0</v>
      </c>
      <c r="BD97" s="205"/>
      <c r="BE97" s="206">
        <v>0</v>
      </c>
      <c r="BF97" s="204">
        <v>0</v>
      </c>
      <c r="BG97" s="205"/>
      <c r="BH97" s="205"/>
      <c r="BI97" s="206"/>
      <c r="BJ97" s="435"/>
      <c r="BK97" s="493"/>
      <c r="BL97" s="494"/>
      <c r="BM97" s="495"/>
      <c r="BN97" s="205"/>
      <c r="BO97" s="484"/>
      <c r="BP97" s="496"/>
      <c r="BQ97" s="495"/>
      <c r="BR97" s="497"/>
      <c r="BS97" s="498"/>
      <c r="BT97" s="496"/>
      <c r="BU97" s="495"/>
      <c r="BV97" s="497"/>
      <c r="BW97" s="498"/>
      <c r="BX97" s="499"/>
      <c r="BY97" s="500"/>
      <c r="BZ97" s="501"/>
      <c r="CA97" s="502"/>
      <c r="CB97" s="503"/>
      <c r="CC97" s="282"/>
      <c r="CD97" s="504"/>
      <c r="CE97" s="205"/>
      <c r="CF97" s="505"/>
      <c r="CG97" s="465"/>
      <c r="CH97" s="465"/>
      <c r="CI97" s="465"/>
      <c r="CJ97" s="465"/>
      <c r="CK97" s="465"/>
      <c r="CL97" s="465"/>
      <c r="CM97" s="466"/>
      <c r="CN97" s="466"/>
      <c r="CO97" s="466"/>
      <c r="CP97" s="466"/>
      <c r="CQ97" s="466"/>
      <c r="CR97" s="466"/>
      <c r="CS97" s="466"/>
      <c r="CT97" s="466"/>
      <c r="CU97" s="466"/>
      <c r="CV97" s="466"/>
      <c r="CW97" s="466"/>
      <c r="CX97" s="466"/>
      <c r="CY97" s="466"/>
      <c r="CZ97" s="466"/>
      <c r="DA97" s="193" t="e">
        <f>SUM(DC97,#REF!,DF97)</f>
        <v>#REF!</v>
      </c>
      <c r="DB97" s="193">
        <v>943.2</v>
      </c>
      <c r="DC97" s="179">
        <v>943.2</v>
      </c>
      <c r="DD97" s="861">
        <v>943.2</v>
      </c>
      <c r="DE97" s="179">
        <v>943.2</v>
      </c>
      <c r="DF97" s="31">
        <f t="shared" si="47"/>
        <v>471.6</v>
      </c>
      <c r="DG97" s="134">
        <f>DF97</f>
        <v>471.6</v>
      </c>
      <c r="DI97" s="826"/>
      <c r="DJ97" s="788"/>
    </row>
    <row r="98" spans="1:114" s="783" customFormat="1" hidden="1">
      <c r="A98" s="194" t="s">
        <v>261</v>
      </c>
      <c r="B98" s="199" t="s">
        <v>100</v>
      </c>
      <c r="C98" s="834" t="s">
        <v>54</v>
      </c>
      <c r="D98" s="320">
        <v>476.12</v>
      </c>
      <c r="E98" s="320">
        <v>18.13</v>
      </c>
      <c r="F98" s="320">
        <v>0</v>
      </c>
      <c r="G98" s="320">
        <v>0</v>
      </c>
      <c r="H98" s="181">
        <v>457.05</v>
      </c>
      <c r="I98" s="181">
        <v>121.49</v>
      </c>
      <c r="J98" s="181">
        <v>31.59</v>
      </c>
      <c r="K98" s="181">
        <v>89.9</v>
      </c>
      <c r="L98" s="322">
        <v>55.645000000000003</v>
      </c>
      <c r="M98" s="322">
        <v>55.645710000000001</v>
      </c>
      <c r="N98" s="322">
        <v>43.96</v>
      </c>
      <c r="O98" s="322">
        <v>43.96</v>
      </c>
      <c r="P98" s="322"/>
      <c r="Q98" s="322"/>
      <c r="R98" s="322">
        <v>3.0379999999999998</v>
      </c>
      <c r="S98" s="322">
        <v>3.04</v>
      </c>
      <c r="T98" s="322">
        <v>8.6479999999999997</v>
      </c>
      <c r="U98" s="322">
        <v>8.65</v>
      </c>
      <c r="V98" s="322"/>
      <c r="W98" s="322"/>
      <c r="X98" s="181">
        <f>O98-N98</f>
        <v>0</v>
      </c>
      <c r="Y98" s="191">
        <f>O98/N98</f>
        <v>1</v>
      </c>
      <c r="Z98" s="322">
        <v>55.65</v>
      </c>
      <c r="AA98" s="322">
        <v>49.05</v>
      </c>
      <c r="AB98" s="322">
        <v>43.96</v>
      </c>
      <c r="AC98" s="322"/>
      <c r="AD98" s="322">
        <v>3.04</v>
      </c>
      <c r="AE98" s="322"/>
      <c r="AF98" s="322">
        <v>8.65</v>
      </c>
      <c r="AG98" s="322"/>
      <c r="AH98" s="322"/>
      <c r="AI98" s="322"/>
      <c r="AJ98" s="181"/>
      <c r="AK98" s="192"/>
      <c r="AL98" s="322">
        <v>55.65</v>
      </c>
      <c r="AM98" s="322">
        <v>49.05</v>
      </c>
      <c r="AN98" s="322">
        <v>43.96</v>
      </c>
      <c r="AO98" s="322"/>
      <c r="AP98" s="322">
        <v>3.04</v>
      </c>
      <c r="AQ98" s="322"/>
      <c r="AR98" s="322">
        <v>8.65</v>
      </c>
      <c r="AS98" s="322"/>
      <c r="AT98" s="322"/>
      <c r="AU98" s="322"/>
      <c r="AV98" s="181"/>
      <c r="AW98" s="192"/>
      <c r="AX98" s="179">
        <v>308.88</v>
      </c>
      <c r="AY98" s="323">
        <v>129.88</v>
      </c>
      <c r="AZ98" s="324"/>
      <c r="BA98" s="325">
        <f>AY98-BC98</f>
        <v>-0.96999999999999886</v>
      </c>
      <c r="BB98" s="325"/>
      <c r="BC98" s="325">
        <v>130.85</v>
      </c>
      <c r="BD98" s="325"/>
      <c r="BE98" s="326"/>
      <c r="BF98" s="324"/>
      <c r="BG98" s="325"/>
      <c r="BH98" s="325"/>
      <c r="BI98" s="326"/>
      <c r="BJ98" s="426">
        <f>BA98-AZ98</f>
        <v>-0.96999999999999886</v>
      </c>
      <c r="BK98" s="481"/>
      <c r="BL98" s="506"/>
      <c r="BM98" s="454">
        <v>49.047379999999997</v>
      </c>
      <c r="BN98" s="175"/>
      <c r="BO98" s="507"/>
      <c r="BP98" s="456"/>
      <c r="BQ98" s="454"/>
      <c r="BR98" s="508"/>
      <c r="BS98" s="458"/>
      <c r="BT98" s="456"/>
      <c r="BU98" s="454"/>
      <c r="BV98" s="508"/>
      <c r="BW98" s="458"/>
      <c r="BX98" s="509"/>
      <c r="BY98" s="460"/>
      <c r="BZ98" s="461">
        <f>M98+BM98+BQ98+BU98</f>
        <v>104.69309</v>
      </c>
      <c r="CA98" s="510"/>
      <c r="CB98" s="462"/>
      <c r="CC98" s="309">
        <f>BZ98-E98</f>
        <v>86.563090000000003</v>
      </c>
      <c r="CD98" s="511">
        <v>730.28</v>
      </c>
      <c r="CE98" s="512"/>
      <c r="CF98" s="464"/>
      <c r="CG98" s="465"/>
      <c r="CH98" s="465"/>
      <c r="CI98" s="465"/>
      <c r="CJ98" s="465"/>
      <c r="CK98" s="465"/>
      <c r="CL98" s="465"/>
      <c r="CM98" s="466"/>
      <c r="CN98" s="466"/>
      <c r="CO98" s="466"/>
      <c r="CP98" s="466"/>
      <c r="CQ98" s="466"/>
      <c r="CR98" s="466"/>
      <c r="CS98" s="466"/>
      <c r="CT98" s="466"/>
      <c r="CU98" s="466"/>
      <c r="CV98" s="466"/>
      <c r="CW98" s="466"/>
      <c r="CX98" s="466"/>
      <c r="CY98" s="466"/>
      <c r="CZ98" s="466"/>
      <c r="DA98" s="323">
        <v>18.13</v>
      </c>
      <c r="DB98" s="323">
        <v>0</v>
      </c>
      <c r="DC98" s="320">
        <v>0</v>
      </c>
      <c r="DD98" s="863">
        <v>0</v>
      </c>
      <c r="DE98" s="320">
        <v>0</v>
      </c>
      <c r="DF98" s="320">
        <v>0</v>
      </c>
      <c r="DG98" s="320">
        <v>0</v>
      </c>
      <c r="DI98" s="826"/>
      <c r="DJ98" s="788"/>
    </row>
    <row r="99" spans="1:114" s="783" customFormat="1" ht="42" customHeight="1">
      <c r="A99" s="194" t="s">
        <v>352</v>
      </c>
      <c r="B99" s="199" t="s">
        <v>353</v>
      </c>
      <c r="C99" s="834" t="s">
        <v>54</v>
      </c>
      <c r="D99" s="179">
        <f>SUM(D100:D108)</f>
        <v>10550</v>
      </c>
      <c r="E99" s="179">
        <f>SUM(E100:E108)</f>
        <v>12053.2</v>
      </c>
      <c r="F99" s="179">
        <f>SUM(F100:F108)</f>
        <v>11651.74</v>
      </c>
      <c r="G99" s="179">
        <f>SUM(G100:G108)</f>
        <v>11410.880000000001</v>
      </c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1"/>
      <c r="Y99" s="202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1"/>
      <c r="AK99" s="203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1"/>
      <c r="AW99" s="203"/>
      <c r="AX99" s="193"/>
      <c r="AY99" s="193">
        <f>SUM(AY100:AY108)</f>
        <v>7069.23</v>
      </c>
      <c r="AZ99" s="204"/>
      <c r="BA99" s="185">
        <f>SUM(BA100:BA108)</f>
        <v>2625.9700000000003</v>
      </c>
      <c r="BB99" s="185">
        <f>SUM(BB100:BB108)</f>
        <v>0</v>
      </c>
      <c r="BC99" s="185">
        <f>SUM(BC100:BC108)</f>
        <v>472.75</v>
      </c>
      <c r="BD99" s="205"/>
      <c r="BE99" s="206">
        <v>0</v>
      </c>
      <c r="BF99" s="204">
        <f>SUM(BF100:BF102)</f>
        <v>229.78</v>
      </c>
      <c r="BG99" s="205"/>
      <c r="BH99" s="205"/>
      <c r="BI99" s="206"/>
      <c r="BJ99" s="435"/>
      <c r="BK99" s="493"/>
      <c r="BL99" s="494"/>
      <c r="BM99" s="495"/>
      <c r="BN99" s="205"/>
      <c r="BO99" s="484"/>
      <c r="BP99" s="496"/>
      <c r="BQ99" s="495"/>
      <c r="BR99" s="497"/>
      <c r="BS99" s="498"/>
      <c r="BT99" s="496"/>
      <c r="BU99" s="495"/>
      <c r="BV99" s="497"/>
      <c r="BW99" s="498"/>
      <c r="BX99" s="499"/>
      <c r="BY99" s="500"/>
      <c r="BZ99" s="501"/>
      <c r="CA99" s="502"/>
      <c r="CB99" s="503"/>
      <c r="CC99" s="282"/>
      <c r="CD99" s="504"/>
      <c r="CE99" s="205"/>
      <c r="CF99" s="505"/>
      <c r="CG99" s="465"/>
      <c r="CH99" s="465"/>
      <c r="CI99" s="465"/>
      <c r="CJ99" s="465"/>
      <c r="CK99" s="465"/>
      <c r="CL99" s="465"/>
      <c r="CM99" s="466"/>
      <c r="CN99" s="466"/>
      <c r="CO99" s="466"/>
      <c r="CP99" s="466"/>
      <c r="CQ99" s="466"/>
      <c r="CR99" s="466"/>
      <c r="CS99" s="466"/>
      <c r="CT99" s="466"/>
      <c r="CU99" s="466"/>
      <c r="CV99" s="466"/>
      <c r="CW99" s="466"/>
      <c r="CX99" s="466"/>
      <c r="CY99" s="466"/>
      <c r="CZ99" s="466"/>
      <c r="DA99" s="193">
        <f>SUM(DA102,DA103)</f>
        <v>12053.2</v>
      </c>
      <c r="DB99" s="193">
        <f>SUM(DB102,DB103)</f>
        <v>11651.740000000002</v>
      </c>
      <c r="DC99" s="179">
        <v>6630.46</v>
      </c>
      <c r="DD99" s="861">
        <v>5972.25</v>
      </c>
      <c r="DE99" s="179">
        <v>8812.61</v>
      </c>
      <c r="DF99" s="179">
        <f>SUM(DF100:DF108)</f>
        <v>4082.4</v>
      </c>
      <c r="DG99" s="179">
        <v>4782.3999999999996</v>
      </c>
      <c r="DI99" s="826"/>
      <c r="DJ99" s="788"/>
    </row>
    <row r="100" spans="1:114" s="783" customFormat="1" hidden="1">
      <c r="A100" s="207"/>
      <c r="B100" s="195" t="s">
        <v>194</v>
      </c>
      <c r="C100" s="836" t="s">
        <v>54</v>
      </c>
      <c r="D100" s="31"/>
      <c r="E100" s="31"/>
      <c r="F100" s="31"/>
      <c r="G100" s="31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96"/>
      <c r="Y100" s="197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96"/>
      <c r="AK100" s="198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96"/>
      <c r="AW100" s="198"/>
      <c r="AX100" s="144"/>
      <c r="AY100" s="144"/>
      <c r="AZ100" s="149"/>
      <c r="BA100" s="62">
        <v>7</v>
      </c>
      <c r="BB100" s="150"/>
      <c r="BC100" s="62"/>
      <c r="BD100" s="150"/>
      <c r="BE100" s="151"/>
      <c r="BF100" s="149"/>
      <c r="BG100" s="150"/>
      <c r="BH100" s="150"/>
      <c r="BI100" s="151"/>
      <c r="BJ100" s="513"/>
      <c r="BK100" s="482"/>
      <c r="BL100" s="437"/>
      <c r="BM100" s="483"/>
      <c r="BN100" s="150"/>
      <c r="BO100" s="514"/>
      <c r="BP100" s="485"/>
      <c r="BQ100" s="483"/>
      <c r="BR100" s="486"/>
      <c r="BS100" s="487"/>
      <c r="BT100" s="485"/>
      <c r="BU100" s="483"/>
      <c r="BV100" s="486"/>
      <c r="BW100" s="487"/>
      <c r="BX100" s="440"/>
      <c r="BY100" s="488"/>
      <c r="BZ100" s="489"/>
      <c r="CA100" s="490"/>
      <c r="CB100" s="491"/>
      <c r="CC100" s="246"/>
      <c r="CD100" s="443"/>
      <c r="CE100" s="150"/>
      <c r="CF100" s="492"/>
      <c r="CG100" s="74"/>
      <c r="CH100" s="74"/>
      <c r="CI100" s="74"/>
      <c r="CJ100" s="74"/>
      <c r="CK100" s="74"/>
      <c r="CL100" s="74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144"/>
      <c r="DB100" s="144"/>
      <c r="DC100" s="31"/>
      <c r="DD100" s="862"/>
      <c r="DE100" s="31"/>
      <c r="DF100" s="31"/>
      <c r="DG100" s="134"/>
      <c r="DI100" s="826"/>
      <c r="DJ100" s="788"/>
    </row>
    <row r="101" spans="1:114" s="783" customFormat="1" hidden="1">
      <c r="A101" s="207"/>
      <c r="B101" s="195" t="s">
        <v>195</v>
      </c>
      <c r="C101" s="836" t="s">
        <v>54</v>
      </c>
      <c r="D101" s="31"/>
      <c r="E101" s="31"/>
      <c r="F101" s="31"/>
      <c r="G101" s="31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96"/>
      <c r="Y101" s="197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96"/>
      <c r="AK101" s="198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96"/>
      <c r="AW101" s="198"/>
      <c r="AX101" s="144"/>
      <c r="AY101" s="144"/>
      <c r="AZ101" s="149"/>
      <c r="BA101" s="62">
        <v>238.5</v>
      </c>
      <c r="BB101" s="150"/>
      <c r="BC101" s="62"/>
      <c r="BD101" s="150"/>
      <c r="BE101" s="151"/>
      <c r="BF101" s="149"/>
      <c r="BG101" s="150"/>
      <c r="BH101" s="150"/>
      <c r="BI101" s="151"/>
      <c r="BJ101" s="513"/>
      <c r="BK101" s="482"/>
      <c r="BL101" s="437"/>
      <c r="BM101" s="483"/>
      <c r="BN101" s="150"/>
      <c r="BO101" s="514"/>
      <c r="BP101" s="485"/>
      <c r="BQ101" s="483"/>
      <c r="BR101" s="486"/>
      <c r="BS101" s="487"/>
      <c r="BT101" s="485"/>
      <c r="BU101" s="483"/>
      <c r="BV101" s="486"/>
      <c r="BW101" s="487"/>
      <c r="BX101" s="440"/>
      <c r="BY101" s="488"/>
      <c r="BZ101" s="489"/>
      <c r="CA101" s="490"/>
      <c r="CB101" s="491"/>
      <c r="CC101" s="246"/>
      <c r="CD101" s="443"/>
      <c r="CE101" s="150"/>
      <c r="CF101" s="492"/>
      <c r="CG101" s="74"/>
      <c r="CH101" s="74"/>
      <c r="CI101" s="74"/>
      <c r="CJ101" s="74"/>
      <c r="CK101" s="74"/>
      <c r="CL101" s="74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144"/>
      <c r="DB101" s="144"/>
      <c r="DC101" s="31"/>
      <c r="DD101" s="862"/>
      <c r="DE101" s="31"/>
      <c r="DF101" s="31"/>
      <c r="DG101" s="134"/>
      <c r="DI101" s="826"/>
      <c r="DJ101" s="788"/>
    </row>
    <row r="102" spans="1:114" s="783" customFormat="1" hidden="1">
      <c r="A102" s="207"/>
      <c r="B102" s="195" t="s">
        <v>284</v>
      </c>
      <c r="C102" s="836" t="s">
        <v>54</v>
      </c>
      <c r="D102" s="31">
        <v>9150</v>
      </c>
      <c r="E102" s="31">
        <v>10853.2</v>
      </c>
      <c r="F102" s="31">
        <v>10424.14</v>
      </c>
      <c r="G102" s="31">
        <v>10183.280000000001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96"/>
      <c r="Y102" s="197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96"/>
      <c r="AK102" s="198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96"/>
      <c r="AW102" s="198"/>
      <c r="AX102" s="144"/>
      <c r="AY102" s="144">
        <v>6472.33</v>
      </c>
      <c r="AZ102" s="149"/>
      <c r="BA102" s="62">
        <v>1907.72</v>
      </c>
      <c r="BB102" s="150"/>
      <c r="BC102" s="62"/>
      <c r="BD102" s="150"/>
      <c r="BE102" s="151"/>
      <c r="BF102" s="149">
        <v>229.78</v>
      </c>
      <c r="BG102" s="150"/>
      <c r="BH102" s="150"/>
      <c r="BI102" s="151"/>
      <c r="BJ102" s="513"/>
      <c r="BK102" s="482"/>
      <c r="BL102" s="437"/>
      <c r="BM102" s="483"/>
      <c r="BN102" s="150"/>
      <c r="BO102" s="514"/>
      <c r="BP102" s="485"/>
      <c r="BQ102" s="483"/>
      <c r="BR102" s="486"/>
      <c r="BS102" s="487"/>
      <c r="BT102" s="485"/>
      <c r="BU102" s="483"/>
      <c r="BV102" s="486"/>
      <c r="BW102" s="487"/>
      <c r="BX102" s="440"/>
      <c r="BY102" s="488"/>
      <c r="BZ102" s="489"/>
      <c r="CA102" s="490"/>
      <c r="CB102" s="491"/>
      <c r="CC102" s="246"/>
      <c r="CD102" s="443"/>
      <c r="CE102" s="150"/>
      <c r="CF102" s="492"/>
      <c r="CG102" s="74"/>
      <c r="CH102" s="74"/>
      <c r="CI102" s="74"/>
      <c r="CJ102" s="74"/>
      <c r="CK102" s="74"/>
      <c r="CL102" s="74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18">
        <v>10853.2</v>
      </c>
      <c r="DB102" s="144">
        <f>10853.2+149.52-574.98-3.6</f>
        <v>10424.140000000001</v>
      </c>
      <c r="DC102" s="31">
        <v>8864.7999999999993</v>
      </c>
      <c r="DD102" s="862">
        <v>5478.5</v>
      </c>
      <c r="DE102" s="31">
        <v>8864.7999999999993</v>
      </c>
      <c r="DF102" s="31">
        <v>4082.4</v>
      </c>
      <c r="DG102" s="134">
        <v>4782.3999999999996</v>
      </c>
      <c r="DH102" s="770">
        <v>700</v>
      </c>
      <c r="DI102" s="826"/>
      <c r="DJ102" s="788"/>
    </row>
    <row r="103" spans="1:114" s="783" customFormat="1" hidden="1">
      <c r="A103" s="207"/>
      <c r="B103" s="195" t="s">
        <v>156</v>
      </c>
      <c r="C103" s="836" t="s">
        <v>54</v>
      </c>
      <c r="D103" s="31">
        <v>1000</v>
      </c>
      <c r="E103" s="31">
        <v>1200</v>
      </c>
      <c r="F103" s="31">
        <v>1227.5999999999999</v>
      </c>
      <c r="G103" s="31">
        <v>1227.5999999999999</v>
      </c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96"/>
      <c r="Y103" s="197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96"/>
      <c r="AK103" s="198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96"/>
      <c r="AW103" s="198"/>
      <c r="AX103" s="144"/>
      <c r="AY103" s="144">
        <v>506.9</v>
      </c>
      <c r="AZ103" s="149"/>
      <c r="BA103" s="62"/>
      <c r="BB103" s="150"/>
      <c r="BC103" s="62"/>
      <c r="BD103" s="150"/>
      <c r="BE103" s="151"/>
      <c r="BF103" s="149"/>
      <c r="BG103" s="150"/>
      <c r="BH103" s="150"/>
      <c r="BI103" s="151"/>
      <c r="BJ103" s="513"/>
      <c r="BK103" s="482"/>
      <c r="BL103" s="437"/>
      <c r="BM103" s="483"/>
      <c r="BN103" s="150"/>
      <c r="BO103" s="514"/>
      <c r="BP103" s="485"/>
      <c r="BQ103" s="483"/>
      <c r="BR103" s="486"/>
      <c r="BS103" s="487"/>
      <c r="BT103" s="485"/>
      <c r="BU103" s="483"/>
      <c r="BV103" s="486"/>
      <c r="BW103" s="487"/>
      <c r="BX103" s="440"/>
      <c r="BY103" s="488"/>
      <c r="BZ103" s="489"/>
      <c r="CA103" s="490"/>
      <c r="CB103" s="491"/>
      <c r="CC103" s="246"/>
      <c r="CD103" s="443"/>
      <c r="CE103" s="150"/>
      <c r="CF103" s="492"/>
      <c r="CG103" s="74"/>
      <c r="CH103" s="74"/>
      <c r="CI103" s="74"/>
      <c r="CJ103" s="74"/>
      <c r="CK103" s="74"/>
      <c r="CL103" s="74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18">
        <v>1200</v>
      </c>
      <c r="DB103" s="144">
        <f>1200+75.6-48</f>
        <v>1227.5999999999999</v>
      </c>
      <c r="DC103" s="31"/>
      <c r="DD103" s="862">
        <v>454</v>
      </c>
      <c r="DE103" s="31"/>
      <c r="DF103" s="31">
        <f t="shared" ref="DF103:DF134" si="57">DE103/2</f>
        <v>0</v>
      </c>
      <c r="DG103" s="134"/>
      <c r="DH103" s="835"/>
      <c r="DI103" s="826"/>
      <c r="DJ103" s="788"/>
    </row>
    <row r="104" spans="1:114" s="783" customFormat="1" hidden="1">
      <c r="A104" s="207"/>
      <c r="B104" s="195" t="s">
        <v>221</v>
      </c>
      <c r="C104" s="836" t="s">
        <v>54</v>
      </c>
      <c r="D104" s="31">
        <v>150</v>
      </c>
      <c r="E104" s="31"/>
      <c r="F104" s="31"/>
      <c r="G104" s="31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96"/>
      <c r="Y104" s="197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96"/>
      <c r="AK104" s="198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96"/>
      <c r="AW104" s="198"/>
      <c r="AX104" s="144"/>
      <c r="AY104" s="144"/>
      <c r="AZ104" s="149"/>
      <c r="BA104" s="62">
        <v>325</v>
      </c>
      <c r="BB104" s="150"/>
      <c r="BC104" s="62">
        <v>325</v>
      </c>
      <c r="BD104" s="150"/>
      <c r="BE104" s="151"/>
      <c r="BF104" s="149"/>
      <c r="BG104" s="150"/>
      <c r="BH104" s="150"/>
      <c r="BI104" s="151"/>
      <c r="BJ104" s="513"/>
      <c r="BK104" s="482"/>
      <c r="BL104" s="437"/>
      <c r="BM104" s="483"/>
      <c r="BN104" s="150"/>
      <c r="BO104" s="514"/>
      <c r="BP104" s="485"/>
      <c r="BQ104" s="483"/>
      <c r="BR104" s="486"/>
      <c r="BS104" s="487"/>
      <c r="BT104" s="485"/>
      <c r="BU104" s="483"/>
      <c r="BV104" s="486"/>
      <c r="BW104" s="487"/>
      <c r="BX104" s="440"/>
      <c r="BY104" s="488"/>
      <c r="BZ104" s="489"/>
      <c r="CA104" s="490"/>
      <c r="CB104" s="491"/>
      <c r="CC104" s="246"/>
      <c r="CD104" s="443"/>
      <c r="CE104" s="150"/>
      <c r="CF104" s="492"/>
      <c r="CG104" s="74"/>
      <c r="CH104" s="74"/>
      <c r="CI104" s="74"/>
      <c r="CJ104" s="74"/>
      <c r="CK104" s="74"/>
      <c r="CL104" s="74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144"/>
      <c r="DB104" s="144"/>
      <c r="DC104" s="31"/>
      <c r="DD104" s="862"/>
      <c r="DE104" s="31"/>
      <c r="DF104" s="31">
        <f t="shared" si="57"/>
        <v>0</v>
      </c>
      <c r="DG104" s="134"/>
      <c r="DI104" s="826"/>
      <c r="DJ104" s="788"/>
    </row>
    <row r="105" spans="1:114" s="783" customFormat="1" hidden="1">
      <c r="A105" s="207"/>
      <c r="B105" s="195" t="s">
        <v>222</v>
      </c>
      <c r="C105" s="836" t="s">
        <v>54</v>
      </c>
      <c r="D105" s="31">
        <v>100</v>
      </c>
      <c r="E105" s="31"/>
      <c r="F105" s="31"/>
      <c r="G105" s="31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96"/>
      <c r="Y105" s="197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96"/>
      <c r="AK105" s="198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96"/>
      <c r="AW105" s="198"/>
      <c r="AX105" s="144"/>
      <c r="AY105" s="144">
        <v>90</v>
      </c>
      <c r="AZ105" s="149"/>
      <c r="BA105" s="62">
        <v>45.25</v>
      </c>
      <c r="BB105" s="150"/>
      <c r="BC105" s="62">
        <v>45.25</v>
      </c>
      <c r="BD105" s="150"/>
      <c r="BE105" s="151"/>
      <c r="BF105" s="149"/>
      <c r="BG105" s="150"/>
      <c r="BH105" s="150"/>
      <c r="BI105" s="151"/>
      <c r="BJ105" s="513"/>
      <c r="BK105" s="482"/>
      <c r="BL105" s="437"/>
      <c r="BM105" s="483"/>
      <c r="BN105" s="150"/>
      <c r="BO105" s="514"/>
      <c r="BP105" s="485"/>
      <c r="BQ105" s="483"/>
      <c r="BR105" s="486"/>
      <c r="BS105" s="487"/>
      <c r="BT105" s="485"/>
      <c r="BU105" s="483"/>
      <c r="BV105" s="486"/>
      <c r="BW105" s="487"/>
      <c r="BX105" s="440"/>
      <c r="BY105" s="488"/>
      <c r="BZ105" s="489"/>
      <c r="CA105" s="490"/>
      <c r="CB105" s="491"/>
      <c r="CC105" s="246"/>
      <c r="CD105" s="443"/>
      <c r="CE105" s="150"/>
      <c r="CF105" s="492"/>
      <c r="CG105" s="74"/>
      <c r="CH105" s="74"/>
      <c r="CI105" s="74"/>
      <c r="CJ105" s="74"/>
      <c r="CK105" s="74"/>
      <c r="CL105" s="74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144"/>
      <c r="DB105" s="144"/>
      <c r="DC105" s="31"/>
      <c r="DD105" s="862"/>
      <c r="DE105" s="31"/>
      <c r="DF105" s="31">
        <f t="shared" si="57"/>
        <v>0</v>
      </c>
      <c r="DG105" s="134"/>
      <c r="DI105" s="826"/>
      <c r="DJ105" s="788"/>
    </row>
    <row r="106" spans="1:114" s="783" customFormat="1" hidden="1">
      <c r="A106" s="207"/>
      <c r="B106" s="195" t="s">
        <v>223</v>
      </c>
      <c r="C106" s="836" t="s">
        <v>54</v>
      </c>
      <c r="D106" s="31">
        <v>100</v>
      </c>
      <c r="E106" s="31"/>
      <c r="F106" s="31"/>
      <c r="G106" s="31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96"/>
      <c r="Y106" s="197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96"/>
      <c r="AK106" s="198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96"/>
      <c r="AW106" s="198"/>
      <c r="AX106" s="144"/>
      <c r="AY106" s="144"/>
      <c r="AZ106" s="149"/>
      <c r="BA106" s="62">
        <v>45</v>
      </c>
      <c r="BB106" s="150"/>
      <c r="BC106" s="62">
        <v>45</v>
      </c>
      <c r="BD106" s="150"/>
      <c r="BE106" s="151"/>
      <c r="BF106" s="149"/>
      <c r="BG106" s="150"/>
      <c r="BH106" s="150"/>
      <c r="BI106" s="151"/>
      <c r="BJ106" s="513"/>
      <c r="BK106" s="482"/>
      <c r="BL106" s="437"/>
      <c r="BM106" s="483"/>
      <c r="BN106" s="150"/>
      <c r="BO106" s="514"/>
      <c r="BP106" s="485"/>
      <c r="BQ106" s="483"/>
      <c r="BR106" s="486"/>
      <c r="BS106" s="487"/>
      <c r="BT106" s="485"/>
      <c r="BU106" s="483"/>
      <c r="BV106" s="486"/>
      <c r="BW106" s="487"/>
      <c r="BX106" s="440"/>
      <c r="BY106" s="488"/>
      <c r="BZ106" s="489"/>
      <c r="CA106" s="490"/>
      <c r="CB106" s="491"/>
      <c r="CC106" s="246"/>
      <c r="CD106" s="443"/>
      <c r="CE106" s="150"/>
      <c r="CF106" s="492"/>
      <c r="CG106" s="74"/>
      <c r="CH106" s="74"/>
      <c r="CI106" s="74"/>
      <c r="CJ106" s="74"/>
      <c r="CK106" s="74"/>
      <c r="CL106" s="74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144"/>
      <c r="DB106" s="144"/>
      <c r="DC106" s="31"/>
      <c r="DD106" s="862"/>
      <c r="DE106" s="31"/>
      <c r="DF106" s="31">
        <f t="shared" si="57"/>
        <v>0</v>
      </c>
      <c r="DG106" s="134"/>
      <c r="DI106" s="826"/>
      <c r="DJ106" s="788"/>
    </row>
    <row r="107" spans="1:114" s="783" customFormat="1" hidden="1">
      <c r="A107" s="207"/>
      <c r="B107" s="195" t="s">
        <v>224</v>
      </c>
      <c r="C107" s="836" t="s">
        <v>54</v>
      </c>
      <c r="D107" s="31"/>
      <c r="E107" s="31"/>
      <c r="F107" s="31"/>
      <c r="G107" s="31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96"/>
      <c r="Y107" s="197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96"/>
      <c r="AK107" s="198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96"/>
      <c r="AW107" s="198"/>
      <c r="AX107" s="144"/>
      <c r="AY107" s="144"/>
      <c r="AZ107" s="149"/>
      <c r="BA107" s="62">
        <v>40</v>
      </c>
      <c r="BB107" s="150"/>
      <c r="BC107" s="62">
        <v>40</v>
      </c>
      <c r="BD107" s="150"/>
      <c r="BE107" s="151"/>
      <c r="BF107" s="149"/>
      <c r="BG107" s="150"/>
      <c r="BH107" s="150"/>
      <c r="BI107" s="151"/>
      <c r="BJ107" s="513"/>
      <c r="BK107" s="482"/>
      <c r="BL107" s="437"/>
      <c r="BM107" s="483"/>
      <c r="BN107" s="150"/>
      <c r="BO107" s="514"/>
      <c r="BP107" s="485"/>
      <c r="BQ107" s="483"/>
      <c r="BR107" s="486"/>
      <c r="BS107" s="487"/>
      <c r="BT107" s="485"/>
      <c r="BU107" s="483"/>
      <c r="BV107" s="486"/>
      <c r="BW107" s="487"/>
      <c r="BX107" s="440"/>
      <c r="BY107" s="488"/>
      <c r="BZ107" s="489"/>
      <c r="CA107" s="490"/>
      <c r="CB107" s="491"/>
      <c r="CC107" s="246"/>
      <c r="CD107" s="443"/>
      <c r="CE107" s="150"/>
      <c r="CF107" s="492"/>
      <c r="CG107" s="74"/>
      <c r="CH107" s="74"/>
      <c r="CI107" s="74"/>
      <c r="CJ107" s="74"/>
      <c r="CK107" s="74"/>
      <c r="CL107" s="74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144"/>
      <c r="DB107" s="144"/>
      <c r="DC107" s="31"/>
      <c r="DD107" s="862"/>
      <c r="DE107" s="31"/>
      <c r="DF107" s="31">
        <f t="shared" si="57"/>
        <v>0</v>
      </c>
      <c r="DG107" s="134"/>
      <c r="DI107" s="826"/>
      <c r="DJ107" s="788"/>
    </row>
    <row r="108" spans="1:114" s="783" customFormat="1" hidden="1">
      <c r="A108" s="207"/>
      <c r="B108" s="195" t="s">
        <v>225</v>
      </c>
      <c r="C108" s="836" t="s">
        <v>54</v>
      </c>
      <c r="D108" s="31">
        <v>50</v>
      </c>
      <c r="E108" s="31"/>
      <c r="F108" s="31"/>
      <c r="G108" s="31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96"/>
      <c r="Y108" s="197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96"/>
      <c r="AK108" s="198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96"/>
      <c r="AW108" s="198"/>
      <c r="AX108" s="144"/>
      <c r="AY108" s="144"/>
      <c r="AZ108" s="149"/>
      <c r="BA108" s="62">
        <v>17.5</v>
      </c>
      <c r="BB108" s="150"/>
      <c r="BC108" s="62">
        <v>17.5</v>
      </c>
      <c r="BD108" s="150"/>
      <c r="BE108" s="151"/>
      <c r="BF108" s="149"/>
      <c r="BG108" s="150"/>
      <c r="BH108" s="150"/>
      <c r="BI108" s="151"/>
      <c r="BJ108" s="513"/>
      <c r="BK108" s="482"/>
      <c r="BL108" s="437"/>
      <c r="BM108" s="483"/>
      <c r="BN108" s="150"/>
      <c r="BO108" s="514"/>
      <c r="BP108" s="485"/>
      <c r="BQ108" s="483"/>
      <c r="BR108" s="486"/>
      <c r="BS108" s="487"/>
      <c r="BT108" s="485"/>
      <c r="BU108" s="483"/>
      <c r="BV108" s="486"/>
      <c r="BW108" s="487"/>
      <c r="BX108" s="440"/>
      <c r="BY108" s="488"/>
      <c r="BZ108" s="489"/>
      <c r="CA108" s="490"/>
      <c r="CB108" s="491"/>
      <c r="CC108" s="246"/>
      <c r="CD108" s="443"/>
      <c r="CE108" s="150"/>
      <c r="CF108" s="492"/>
      <c r="CG108" s="74"/>
      <c r="CH108" s="74"/>
      <c r="CI108" s="74"/>
      <c r="CJ108" s="74"/>
      <c r="CK108" s="74"/>
      <c r="CL108" s="74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144"/>
      <c r="DB108" s="144"/>
      <c r="DC108" s="31"/>
      <c r="DD108" s="862"/>
      <c r="DE108" s="31"/>
      <c r="DF108" s="31">
        <f t="shared" si="57"/>
        <v>0</v>
      </c>
      <c r="DG108" s="134"/>
      <c r="DI108" s="826"/>
      <c r="DJ108" s="788"/>
    </row>
    <row r="109" spans="1:114" s="783" customFormat="1" hidden="1">
      <c r="A109" s="194" t="s">
        <v>262</v>
      </c>
      <c r="B109" s="199" t="s">
        <v>174</v>
      </c>
      <c r="C109" s="834" t="s">
        <v>54</v>
      </c>
      <c r="D109" s="179">
        <f>SUM(D110:D135)</f>
        <v>267.01</v>
      </c>
      <c r="E109" s="179">
        <f>SUM(E110:E135)</f>
        <v>271.45000000000005</v>
      </c>
      <c r="F109" s="179">
        <f>SUM(F110:F135)</f>
        <v>271.45000000000005</v>
      </c>
      <c r="G109" s="179">
        <f>SUM(G110:G135)</f>
        <v>271.45000000000005</v>
      </c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1"/>
      <c r="Y109" s="202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1"/>
      <c r="AK109" s="203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1"/>
      <c r="AW109" s="203"/>
      <c r="AX109" s="193"/>
      <c r="AY109" s="193">
        <f>SUM(AY110:AY135)</f>
        <v>174.67</v>
      </c>
      <c r="AZ109" s="204"/>
      <c r="BA109" s="185">
        <f t="shared" ref="BA109:BG109" si="58">SUM(BA110:BA135)</f>
        <v>135.03</v>
      </c>
      <c r="BB109" s="185">
        <f t="shared" si="58"/>
        <v>0</v>
      </c>
      <c r="BC109" s="185">
        <f t="shared" si="58"/>
        <v>34.44</v>
      </c>
      <c r="BD109" s="185">
        <f t="shared" si="58"/>
        <v>0</v>
      </c>
      <c r="BE109" s="186">
        <f t="shared" si="58"/>
        <v>0.47</v>
      </c>
      <c r="BF109" s="184">
        <f t="shared" si="58"/>
        <v>11.88</v>
      </c>
      <c r="BG109" s="185">
        <f t="shared" si="58"/>
        <v>320.49</v>
      </c>
      <c r="BH109" s="205"/>
      <c r="BI109" s="206"/>
      <c r="BJ109" s="435"/>
      <c r="BK109" s="493"/>
      <c r="BL109" s="494"/>
      <c r="BM109" s="495"/>
      <c r="BN109" s="205"/>
      <c r="BO109" s="484"/>
      <c r="BP109" s="496"/>
      <c r="BQ109" s="495"/>
      <c r="BR109" s="497"/>
      <c r="BS109" s="498"/>
      <c r="BT109" s="496"/>
      <c r="BU109" s="495"/>
      <c r="BV109" s="497"/>
      <c r="BW109" s="498"/>
      <c r="BX109" s="499"/>
      <c r="BY109" s="500"/>
      <c r="BZ109" s="501"/>
      <c r="CA109" s="502"/>
      <c r="CB109" s="503"/>
      <c r="CC109" s="282"/>
      <c r="CD109" s="504"/>
      <c r="CE109" s="205"/>
      <c r="CF109" s="505"/>
      <c r="CG109" s="465"/>
      <c r="CH109" s="465"/>
      <c r="CI109" s="465"/>
      <c r="CJ109" s="465"/>
      <c r="CK109" s="465"/>
      <c r="CL109" s="465"/>
      <c r="CM109" s="466"/>
      <c r="CN109" s="466"/>
      <c r="CO109" s="466"/>
      <c r="CP109" s="466"/>
      <c r="CQ109" s="466"/>
      <c r="CR109" s="466"/>
      <c r="CS109" s="466"/>
      <c r="CT109" s="466"/>
      <c r="CU109" s="466"/>
      <c r="CV109" s="466"/>
      <c r="CW109" s="466"/>
      <c r="CX109" s="466"/>
      <c r="CY109" s="466"/>
      <c r="CZ109" s="466"/>
      <c r="DA109" s="193">
        <f t="shared" ref="DA109:DG109" si="59">SUM(DA110:DA135)</f>
        <v>271.45000000000005</v>
      </c>
      <c r="DB109" s="193">
        <f t="shared" si="59"/>
        <v>186.54</v>
      </c>
      <c r="DC109" s="179">
        <f t="shared" si="59"/>
        <v>288.45000000000005</v>
      </c>
      <c r="DD109" s="861">
        <f t="shared" si="59"/>
        <v>122.78</v>
      </c>
      <c r="DE109" s="179">
        <f t="shared" si="59"/>
        <v>288.45000000000005</v>
      </c>
      <c r="DF109" s="179">
        <f t="shared" si="59"/>
        <v>144.22500000000002</v>
      </c>
      <c r="DG109" s="179">
        <f t="shared" si="59"/>
        <v>144.22500000000002</v>
      </c>
      <c r="DI109" s="826"/>
      <c r="DJ109" s="788"/>
    </row>
    <row r="110" spans="1:114" s="783" customFormat="1" hidden="1">
      <c r="A110" s="47"/>
      <c r="B110" s="187" t="s">
        <v>156</v>
      </c>
      <c r="C110" s="836" t="s">
        <v>54</v>
      </c>
      <c r="D110" s="31"/>
      <c r="E110" s="31"/>
      <c r="F110" s="31"/>
      <c r="G110" s="31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51"/>
      <c r="Y110" s="55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51"/>
      <c r="AK110" s="56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51"/>
      <c r="AW110" s="56"/>
      <c r="AX110" s="31"/>
      <c r="AY110" s="144"/>
      <c r="AZ110" s="109"/>
      <c r="BA110" s="62"/>
      <c r="BB110" s="62"/>
      <c r="BC110" s="62"/>
      <c r="BD110" s="62"/>
      <c r="BE110" s="110"/>
      <c r="BF110" s="109"/>
      <c r="BG110" s="62">
        <v>15.75</v>
      </c>
      <c r="BH110" s="62"/>
      <c r="BI110" s="110"/>
      <c r="BJ110" s="59"/>
      <c r="BK110" s="46"/>
      <c r="BL110" s="428"/>
      <c r="BM110" s="61"/>
      <c r="BN110" s="399"/>
      <c r="BO110" s="63"/>
      <c r="BP110" s="64"/>
      <c r="BQ110" s="61"/>
      <c r="BR110" s="479"/>
      <c r="BS110" s="66"/>
      <c r="BT110" s="64"/>
      <c r="BU110" s="61"/>
      <c r="BV110" s="479"/>
      <c r="BW110" s="66"/>
      <c r="BX110" s="431"/>
      <c r="BY110" s="68"/>
      <c r="BZ110" s="69"/>
      <c r="CA110" s="61"/>
      <c r="CB110" s="71"/>
      <c r="CC110" s="72"/>
      <c r="CD110" s="434"/>
      <c r="CE110" s="62"/>
      <c r="CF110" s="73"/>
      <c r="CG110" s="74"/>
      <c r="CH110" s="74"/>
      <c r="CI110" s="74"/>
      <c r="CJ110" s="74"/>
      <c r="CK110" s="74"/>
      <c r="CL110" s="74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144"/>
      <c r="DB110" s="144"/>
      <c r="DC110" s="31"/>
      <c r="DD110" s="862"/>
      <c r="DE110" s="31"/>
      <c r="DF110" s="31">
        <f t="shared" si="57"/>
        <v>0</v>
      </c>
      <c r="DG110" s="134"/>
      <c r="DI110" s="826"/>
      <c r="DJ110" s="788"/>
    </row>
    <row r="111" spans="1:114" s="783" customFormat="1" hidden="1">
      <c r="A111" s="47"/>
      <c r="B111" s="187" t="s">
        <v>226</v>
      </c>
      <c r="C111" s="836" t="s">
        <v>54</v>
      </c>
      <c r="D111" s="31"/>
      <c r="E111" s="31"/>
      <c r="F111" s="31"/>
      <c r="G111" s="31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51"/>
      <c r="Y111" s="55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51"/>
      <c r="AK111" s="56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51"/>
      <c r="AW111" s="56"/>
      <c r="AX111" s="31"/>
      <c r="AY111" s="144"/>
      <c r="AZ111" s="109"/>
      <c r="BA111" s="62"/>
      <c r="BB111" s="62"/>
      <c r="BC111" s="62"/>
      <c r="BD111" s="62"/>
      <c r="BE111" s="110"/>
      <c r="BF111" s="109"/>
      <c r="BG111" s="62">
        <v>27.94</v>
      </c>
      <c r="BH111" s="62"/>
      <c r="BI111" s="110"/>
      <c r="BJ111" s="59"/>
      <c r="BK111" s="46"/>
      <c r="BL111" s="428"/>
      <c r="BM111" s="61"/>
      <c r="BN111" s="399"/>
      <c r="BO111" s="63"/>
      <c r="BP111" s="64"/>
      <c r="BQ111" s="61"/>
      <c r="BR111" s="479"/>
      <c r="BS111" s="66"/>
      <c r="BT111" s="64"/>
      <c r="BU111" s="61"/>
      <c r="BV111" s="479"/>
      <c r="BW111" s="66"/>
      <c r="BX111" s="431"/>
      <c r="BY111" s="68"/>
      <c r="BZ111" s="69"/>
      <c r="CA111" s="61"/>
      <c r="CB111" s="71"/>
      <c r="CC111" s="72"/>
      <c r="CD111" s="434"/>
      <c r="CE111" s="62"/>
      <c r="CF111" s="73"/>
      <c r="CG111" s="74"/>
      <c r="CH111" s="74"/>
      <c r="CI111" s="74"/>
      <c r="CJ111" s="74"/>
      <c r="CK111" s="74"/>
      <c r="CL111" s="74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144"/>
      <c r="DB111" s="144"/>
      <c r="DC111" s="31"/>
      <c r="DD111" s="862"/>
      <c r="DE111" s="31"/>
      <c r="DF111" s="31">
        <f t="shared" si="57"/>
        <v>0</v>
      </c>
      <c r="DG111" s="134"/>
      <c r="DI111" s="826"/>
      <c r="DJ111" s="788"/>
    </row>
    <row r="112" spans="1:114" s="783" customFormat="1" hidden="1">
      <c r="A112" s="47"/>
      <c r="B112" s="187" t="s">
        <v>227</v>
      </c>
      <c r="C112" s="836" t="s">
        <v>54</v>
      </c>
      <c r="D112" s="31"/>
      <c r="E112" s="31"/>
      <c r="F112" s="31"/>
      <c r="G112" s="31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51"/>
      <c r="Y112" s="55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51"/>
      <c r="AK112" s="56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51"/>
      <c r="AW112" s="56"/>
      <c r="AX112" s="31"/>
      <c r="AY112" s="144">
        <v>10.08</v>
      </c>
      <c r="AZ112" s="109"/>
      <c r="BA112" s="62"/>
      <c r="BB112" s="62"/>
      <c r="BC112" s="62"/>
      <c r="BD112" s="62"/>
      <c r="BE112" s="110"/>
      <c r="BF112" s="109"/>
      <c r="BG112" s="62">
        <v>3.36</v>
      </c>
      <c r="BH112" s="62"/>
      <c r="BI112" s="110"/>
      <c r="BJ112" s="59"/>
      <c r="BK112" s="46"/>
      <c r="BL112" s="428"/>
      <c r="BM112" s="61"/>
      <c r="BN112" s="399"/>
      <c r="BO112" s="63"/>
      <c r="BP112" s="64"/>
      <c r="BQ112" s="61"/>
      <c r="BR112" s="479"/>
      <c r="BS112" s="66"/>
      <c r="BT112" s="64"/>
      <c r="BU112" s="61"/>
      <c r="BV112" s="479"/>
      <c r="BW112" s="66"/>
      <c r="BX112" s="431"/>
      <c r="BY112" s="68"/>
      <c r="BZ112" s="69"/>
      <c r="CA112" s="61"/>
      <c r="CB112" s="71"/>
      <c r="CC112" s="72"/>
      <c r="CD112" s="434"/>
      <c r="CE112" s="62"/>
      <c r="CF112" s="73"/>
      <c r="CG112" s="74"/>
      <c r="CH112" s="74"/>
      <c r="CI112" s="74"/>
      <c r="CJ112" s="74"/>
      <c r="CK112" s="74"/>
      <c r="CL112" s="74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144"/>
      <c r="DB112" s="144">
        <v>10.08</v>
      </c>
      <c r="DC112" s="31">
        <v>11</v>
      </c>
      <c r="DD112" s="862">
        <v>11</v>
      </c>
      <c r="DE112" s="31">
        <v>11</v>
      </c>
      <c r="DF112" s="31">
        <f t="shared" si="57"/>
        <v>5.5</v>
      </c>
      <c r="DG112" s="134">
        <f>DF112</f>
        <v>5.5</v>
      </c>
      <c r="DI112" s="826"/>
      <c r="DJ112" s="788"/>
    </row>
    <row r="113" spans="1:114" s="783" customFormat="1" hidden="1">
      <c r="A113" s="47"/>
      <c r="B113" s="187" t="s">
        <v>228</v>
      </c>
      <c r="C113" s="836" t="s">
        <v>54</v>
      </c>
      <c r="D113" s="31"/>
      <c r="E113" s="31"/>
      <c r="F113" s="31"/>
      <c r="G113" s="31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51"/>
      <c r="Y113" s="55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51"/>
      <c r="AK113" s="56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51"/>
      <c r="AW113" s="56"/>
      <c r="AX113" s="31"/>
      <c r="AY113" s="144"/>
      <c r="AZ113" s="109"/>
      <c r="BA113" s="62"/>
      <c r="BB113" s="62"/>
      <c r="BC113" s="62"/>
      <c r="BD113" s="62"/>
      <c r="BE113" s="110"/>
      <c r="BF113" s="109"/>
      <c r="BG113" s="62">
        <v>15.63</v>
      </c>
      <c r="BH113" s="62"/>
      <c r="BI113" s="110"/>
      <c r="BJ113" s="59"/>
      <c r="BK113" s="46"/>
      <c r="BL113" s="428"/>
      <c r="BM113" s="61"/>
      <c r="BN113" s="399"/>
      <c r="BO113" s="63"/>
      <c r="BP113" s="64"/>
      <c r="BQ113" s="61"/>
      <c r="BR113" s="479"/>
      <c r="BS113" s="66"/>
      <c r="BT113" s="64"/>
      <c r="BU113" s="61"/>
      <c r="BV113" s="479"/>
      <c r="BW113" s="66"/>
      <c r="BX113" s="431"/>
      <c r="BY113" s="68"/>
      <c r="BZ113" s="69"/>
      <c r="CA113" s="61"/>
      <c r="CB113" s="71"/>
      <c r="CC113" s="72"/>
      <c r="CD113" s="434"/>
      <c r="CE113" s="62"/>
      <c r="CF113" s="73"/>
      <c r="CG113" s="74"/>
      <c r="CH113" s="74"/>
      <c r="CI113" s="74"/>
      <c r="CJ113" s="74"/>
      <c r="CK113" s="74"/>
      <c r="CL113" s="74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144"/>
      <c r="DB113" s="144"/>
      <c r="DC113" s="31"/>
      <c r="DD113" s="862"/>
      <c r="DE113" s="31"/>
      <c r="DF113" s="31">
        <f t="shared" si="57"/>
        <v>0</v>
      </c>
      <c r="DG113" s="134">
        <f t="shared" ref="DG113:DG134" si="60">DF113</f>
        <v>0</v>
      </c>
      <c r="DI113" s="826"/>
      <c r="DJ113" s="788"/>
    </row>
    <row r="114" spans="1:114" s="783" customFormat="1" hidden="1">
      <c r="A114" s="47"/>
      <c r="B114" s="187" t="s">
        <v>307</v>
      </c>
      <c r="C114" s="836" t="s">
        <v>54</v>
      </c>
      <c r="D114" s="31"/>
      <c r="E114" s="31"/>
      <c r="F114" s="31"/>
      <c r="G114" s="31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51"/>
      <c r="Y114" s="55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51"/>
      <c r="AK114" s="56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51"/>
      <c r="AW114" s="56"/>
      <c r="AX114" s="31"/>
      <c r="AY114" s="144">
        <v>24</v>
      </c>
      <c r="AZ114" s="109"/>
      <c r="BA114" s="62"/>
      <c r="BB114" s="62"/>
      <c r="BC114" s="62"/>
      <c r="BD114" s="62"/>
      <c r="BE114" s="110"/>
      <c r="BF114" s="109"/>
      <c r="BG114" s="62"/>
      <c r="BH114" s="62"/>
      <c r="BI114" s="110"/>
      <c r="BJ114" s="59"/>
      <c r="BK114" s="46"/>
      <c r="BL114" s="428"/>
      <c r="BM114" s="61"/>
      <c r="BN114" s="399"/>
      <c r="BO114" s="63"/>
      <c r="BP114" s="64"/>
      <c r="BQ114" s="61"/>
      <c r="BR114" s="479"/>
      <c r="BS114" s="66"/>
      <c r="BT114" s="64"/>
      <c r="BU114" s="61"/>
      <c r="BV114" s="479"/>
      <c r="BW114" s="66"/>
      <c r="BX114" s="431"/>
      <c r="BY114" s="68"/>
      <c r="BZ114" s="69"/>
      <c r="CA114" s="61"/>
      <c r="CB114" s="71"/>
      <c r="CC114" s="72"/>
      <c r="CD114" s="434"/>
      <c r="CE114" s="62"/>
      <c r="CF114" s="73"/>
      <c r="CG114" s="74"/>
      <c r="CH114" s="74"/>
      <c r="CI114" s="74"/>
      <c r="CJ114" s="74"/>
      <c r="CK114" s="74"/>
      <c r="CL114" s="74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144"/>
      <c r="DB114" s="144"/>
      <c r="DC114" s="31"/>
      <c r="DD114" s="862"/>
      <c r="DE114" s="31"/>
      <c r="DF114" s="31">
        <f t="shared" si="57"/>
        <v>0</v>
      </c>
      <c r="DG114" s="134">
        <f t="shared" si="60"/>
        <v>0</v>
      </c>
      <c r="DI114" s="826"/>
      <c r="DJ114" s="788"/>
    </row>
    <row r="115" spans="1:114" s="783" customFormat="1" hidden="1">
      <c r="A115" s="47"/>
      <c r="B115" s="187" t="s">
        <v>190</v>
      </c>
      <c r="C115" s="836" t="s">
        <v>54</v>
      </c>
      <c r="D115" s="31"/>
      <c r="E115" s="31"/>
      <c r="F115" s="31"/>
      <c r="G115" s="31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51"/>
      <c r="Y115" s="55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51"/>
      <c r="AK115" s="56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51"/>
      <c r="AW115" s="56"/>
      <c r="AX115" s="31"/>
      <c r="AY115" s="144"/>
      <c r="AZ115" s="109"/>
      <c r="BA115" s="62"/>
      <c r="BB115" s="62"/>
      <c r="BC115" s="62"/>
      <c r="BD115" s="62"/>
      <c r="BE115" s="110"/>
      <c r="BF115" s="109"/>
      <c r="BG115" s="62">
        <v>1.3</v>
      </c>
      <c r="BH115" s="62"/>
      <c r="BI115" s="110"/>
      <c r="BJ115" s="59"/>
      <c r="BK115" s="46"/>
      <c r="BL115" s="428"/>
      <c r="BM115" s="61"/>
      <c r="BN115" s="399"/>
      <c r="BO115" s="63"/>
      <c r="BP115" s="64"/>
      <c r="BQ115" s="61"/>
      <c r="BR115" s="479"/>
      <c r="BS115" s="66"/>
      <c r="BT115" s="64"/>
      <c r="BU115" s="61"/>
      <c r="BV115" s="479"/>
      <c r="BW115" s="66"/>
      <c r="BX115" s="431"/>
      <c r="BY115" s="68"/>
      <c r="BZ115" s="69"/>
      <c r="CA115" s="61"/>
      <c r="CB115" s="71"/>
      <c r="CC115" s="72"/>
      <c r="CD115" s="434"/>
      <c r="CE115" s="62"/>
      <c r="CF115" s="73"/>
      <c r="CG115" s="74"/>
      <c r="CH115" s="74"/>
      <c r="CI115" s="74"/>
      <c r="CJ115" s="74"/>
      <c r="CK115" s="74"/>
      <c r="CL115" s="74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144"/>
      <c r="DB115" s="144"/>
      <c r="DC115" s="31"/>
      <c r="DD115" s="862"/>
      <c r="DE115" s="31"/>
      <c r="DF115" s="31">
        <f t="shared" si="57"/>
        <v>0</v>
      </c>
      <c r="DG115" s="134">
        <f t="shared" si="60"/>
        <v>0</v>
      </c>
      <c r="DI115" s="826"/>
      <c r="DJ115" s="788"/>
    </row>
    <row r="116" spans="1:114" s="783" customFormat="1" hidden="1">
      <c r="A116" s="47"/>
      <c r="B116" s="187" t="s">
        <v>157</v>
      </c>
      <c r="C116" s="836" t="s">
        <v>54</v>
      </c>
      <c r="D116" s="31"/>
      <c r="E116" s="31"/>
      <c r="F116" s="31"/>
      <c r="G116" s="31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51"/>
      <c r="Y116" s="55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51"/>
      <c r="AK116" s="56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51"/>
      <c r="AW116" s="56"/>
      <c r="AX116" s="31"/>
      <c r="AY116" s="144">
        <v>6.55</v>
      </c>
      <c r="AZ116" s="109"/>
      <c r="BA116" s="62"/>
      <c r="BB116" s="62"/>
      <c r="BC116" s="62"/>
      <c r="BD116" s="62"/>
      <c r="BE116" s="110"/>
      <c r="BF116" s="109"/>
      <c r="BG116" s="62">
        <v>7.4</v>
      </c>
      <c r="BH116" s="62"/>
      <c r="BI116" s="110"/>
      <c r="BJ116" s="59"/>
      <c r="BK116" s="46"/>
      <c r="BL116" s="428"/>
      <c r="BM116" s="61"/>
      <c r="BN116" s="399"/>
      <c r="BO116" s="63"/>
      <c r="BP116" s="64"/>
      <c r="BQ116" s="61"/>
      <c r="BR116" s="479"/>
      <c r="BS116" s="66"/>
      <c r="BT116" s="64"/>
      <c r="BU116" s="61"/>
      <c r="BV116" s="479"/>
      <c r="BW116" s="66"/>
      <c r="BX116" s="431"/>
      <c r="BY116" s="68"/>
      <c r="BZ116" s="69"/>
      <c r="CA116" s="61"/>
      <c r="CB116" s="71"/>
      <c r="CC116" s="72"/>
      <c r="CD116" s="434"/>
      <c r="CE116" s="62"/>
      <c r="CF116" s="73"/>
      <c r="CG116" s="74"/>
      <c r="CH116" s="74"/>
      <c r="CI116" s="74"/>
      <c r="CJ116" s="74"/>
      <c r="CK116" s="74"/>
      <c r="CL116" s="74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144"/>
      <c r="DB116" s="144"/>
      <c r="DC116" s="31"/>
      <c r="DD116" s="862"/>
      <c r="DE116" s="31"/>
      <c r="DF116" s="31">
        <f t="shared" si="57"/>
        <v>0</v>
      </c>
      <c r="DG116" s="134">
        <f t="shared" si="60"/>
        <v>0</v>
      </c>
      <c r="DI116" s="826"/>
      <c r="DJ116" s="788"/>
    </row>
    <row r="117" spans="1:114" s="783" customFormat="1" hidden="1">
      <c r="A117" s="47"/>
      <c r="B117" s="187" t="s">
        <v>191</v>
      </c>
      <c r="C117" s="836" t="s">
        <v>54</v>
      </c>
      <c r="D117" s="31"/>
      <c r="E117" s="31"/>
      <c r="F117" s="31"/>
      <c r="G117" s="31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51"/>
      <c r="Y117" s="55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51"/>
      <c r="AK117" s="56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51"/>
      <c r="AW117" s="56"/>
      <c r="AX117" s="31"/>
      <c r="AY117" s="144"/>
      <c r="AZ117" s="109"/>
      <c r="BA117" s="62"/>
      <c r="BB117" s="62"/>
      <c r="BC117" s="62"/>
      <c r="BD117" s="62"/>
      <c r="BE117" s="110"/>
      <c r="BF117" s="109"/>
      <c r="BG117" s="62">
        <v>6.6</v>
      </c>
      <c r="BH117" s="62"/>
      <c r="BI117" s="110"/>
      <c r="BJ117" s="59"/>
      <c r="BK117" s="46"/>
      <c r="BL117" s="428"/>
      <c r="BM117" s="61"/>
      <c r="BN117" s="399"/>
      <c r="BO117" s="63"/>
      <c r="BP117" s="64"/>
      <c r="BQ117" s="61"/>
      <c r="BR117" s="479"/>
      <c r="BS117" s="66"/>
      <c r="BT117" s="64"/>
      <c r="BU117" s="61"/>
      <c r="BV117" s="479"/>
      <c r="BW117" s="66"/>
      <c r="BX117" s="431"/>
      <c r="BY117" s="68"/>
      <c r="BZ117" s="69"/>
      <c r="CA117" s="61"/>
      <c r="CB117" s="71"/>
      <c r="CC117" s="72"/>
      <c r="CD117" s="434"/>
      <c r="CE117" s="62"/>
      <c r="CF117" s="73"/>
      <c r="CG117" s="74"/>
      <c r="CH117" s="74"/>
      <c r="CI117" s="74"/>
      <c r="CJ117" s="74"/>
      <c r="CK117" s="74"/>
      <c r="CL117" s="74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144"/>
      <c r="DB117" s="144"/>
      <c r="DC117" s="31"/>
      <c r="DD117" s="862"/>
      <c r="DE117" s="31"/>
      <c r="DF117" s="31">
        <f t="shared" si="57"/>
        <v>0</v>
      </c>
      <c r="DG117" s="134">
        <f t="shared" si="60"/>
        <v>0</v>
      </c>
      <c r="DI117" s="826"/>
      <c r="DJ117" s="788"/>
    </row>
    <row r="118" spans="1:114" s="783" customFormat="1" ht="24" hidden="1">
      <c r="A118" s="47"/>
      <c r="B118" s="187" t="s">
        <v>205</v>
      </c>
      <c r="C118" s="836" t="s">
        <v>54</v>
      </c>
      <c r="D118" s="31"/>
      <c r="E118" s="31">
        <v>91.8</v>
      </c>
      <c r="F118" s="31">
        <v>91.8</v>
      </c>
      <c r="G118" s="31">
        <v>91.8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51"/>
      <c r="Y118" s="55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51"/>
      <c r="AK118" s="56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51"/>
      <c r="AW118" s="56"/>
      <c r="AX118" s="31"/>
      <c r="AY118" s="144"/>
      <c r="AZ118" s="109"/>
      <c r="BA118" s="62"/>
      <c r="BB118" s="62"/>
      <c r="BC118" s="62"/>
      <c r="BD118" s="62"/>
      <c r="BE118" s="110"/>
      <c r="BF118" s="109"/>
      <c r="BG118" s="62">
        <v>86.61</v>
      </c>
      <c r="BH118" s="62"/>
      <c r="BI118" s="110"/>
      <c r="BJ118" s="59"/>
      <c r="BK118" s="46"/>
      <c r="BL118" s="428"/>
      <c r="BM118" s="61"/>
      <c r="BN118" s="399"/>
      <c r="BO118" s="63"/>
      <c r="BP118" s="64"/>
      <c r="BQ118" s="61"/>
      <c r="BR118" s="479"/>
      <c r="BS118" s="66"/>
      <c r="BT118" s="64"/>
      <c r="BU118" s="61"/>
      <c r="BV118" s="479"/>
      <c r="BW118" s="66"/>
      <c r="BX118" s="431"/>
      <c r="BY118" s="68"/>
      <c r="BZ118" s="69"/>
      <c r="CA118" s="61"/>
      <c r="CB118" s="71"/>
      <c r="CC118" s="72"/>
      <c r="CD118" s="434"/>
      <c r="CE118" s="62"/>
      <c r="CF118" s="73"/>
      <c r="CG118" s="74"/>
      <c r="CH118" s="74"/>
      <c r="CI118" s="74"/>
      <c r="CJ118" s="74"/>
      <c r="CK118" s="74"/>
      <c r="CL118" s="74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144">
        <v>91.8</v>
      </c>
      <c r="DB118" s="144">
        <v>91.8</v>
      </c>
      <c r="DC118" s="31">
        <v>91.8</v>
      </c>
      <c r="DD118" s="862"/>
      <c r="DE118" s="31">
        <v>91.8</v>
      </c>
      <c r="DF118" s="31">
        <f t="shared" si="57"/>
        <v>45.9</v>
      </c>
      <c r="DG118" s="134">
        <f t="shared" si="60"/>
        <v>45.9</v>
      </c>
      <c r="DI118" s="826"/>
      <c r="DJ118" s="788"/>
    </row>
    <row r="119" spans="1:114" s="783" customFormat="1" ht="24" hidden="1">
      <c r="A119" s="47"/>
      <c r="B119" s="187" t="s">
        <v>308</v>
      </c>
      <c r="C119" s="836" t="s">
        <v>54</v>
      </c>
      <c r="D119" s="31"/>
      <c r="E119" s="31"/>
      <c r="F119" s="31"/>
      <c r="G119" s="31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51"/>
      <c r="Y119" s="55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51"/>
      <c r="AK119" s="56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51"/>
      <c r="AW119" s="56"/>
      <c r="AX119" s="31"/>
      <c r="AY119" s="144">
        <v>5.52</v>
      </c>
      <c r="AZ119" s="109"/>
      <c r="BA119" s="62"/>
      <c r="BB119" s="62"/>
      <c r="BC119" s="62"/>
      <c r="BD119" s="62"/>
      <c r="BE119" s="110"/>
      <c r="BF119" s="109"/>
      <c r="BG119" s="62"/>
      <c r="BH119" s="62"/>
      <c r="BI119" s="110"/>
      <c r="BJ119" s="59"/>
      <c r="BK119" s="46"/>
      <c r="BL119" s="428"/>
      <c r="BM119" s="61"/>
      <c r="BN119" s="399"/>
      <c r="BO119" s="63"/>
      <c r="BP119" s="64"/>
      <c r="BQ119" s="61"/>
      <c r="BR119" s="479"/>
      <c r="BS119" s="66"/>
      <c r="BT119" s="64"/>
      <c r="BU119" s="61"/>
      <c r="BV119" s="479"/>
      <c r="BW119" s="66"/>
      <c r="BX119" s="431"/>
      <c r="BY119" s="68"/>
      <c r="BZ119" s="69"/>
      <c r="CA119" s="61"/>
      <c r="CB119" s="71"/>
      <c r="CC119" s="72"/>
      <c r="CD119" s="434"/>
      <c r="CE119" s="62"/>
      <c r="CF119" s="73"/>
      <c r="CG119" s="74"/>
      <c r="CH119" s="74"/>
      <c r="CI119" s="74"/>
      <c r="CJ119" s="74"/>
      <c r="CK119" s="74"/>
      <c r="CL119" s="74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144"/>
      <c r="DB119" s="144"/>
      <c r="DC119" s="31"/>
      <c r="DD119" s="862"/>
      <c r="DE119" s="31"/>
      <c r="DF119" s="31">
        <f t="shared" si="57"/>
        <v>0</v>
      </c>
      <c r="DG119" s="134">
        <f t="shared" si="60"/>
        <v>0</v>
      </c>
      <c r="DI119" s="826"/>
      <c r="DJ119" s="788"/>
    </row>
    <row r="120" spans="1:114" s="783" customFormat="1" hidden="1">
      <c r="A120" s="47"/>
      <c r="B120" s="187" t="s">
        <v>206</v>
      </c>
      <c r="C120" s="836" t="s">
        <v>54</v>
      </c>
      <c r="D120" s="31"/>
      <c r="E120" s="31"/>
      <c r="F120" s="31"/>
      <c r="G120" s="31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51"/>
      <c r="Y120" s="55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51"/>
      <c r="AK120" s="56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51"/>
      <c r="AW120" s="56"/>
      <c r="AX120" s="31"/>
      <c r="AY120" s="144"/>
      <c r="AZ120" s="109"/>
      <c r="BA120" s="62"/>
      <c r="BB120" s="62"/>
      <c r="BC120" s="62"/>
      <c r="BD120" s="62"/>
      <c r="BE120" s="110"/>
      <c r="BF120" s="109"/>
      <c r="BG120" s="62">
        <v>1.5</v>
      </c>
      <c r="BH120" s="62"/>
      <c r="BI120" s="110"/>
      <c r="BJ120" s="59"/>
      <c r="BK120" s="46"/>
      <c r="BL120" s="428"/>
      <c r="BM120" s="61"/>
      <c r="BN120" s="399"/>
      <c r="BO120" s="63"/>
      <c r="BP120" s="64"/>
      <c r="BQ120" s="61"/>
      <c r="BR120" s="479"/>
      <c r="BS120" s="66"/>
      <c r="BT120" s="64"/>
      <c r="BU120" s="61"/>
      <c r="BV120" s="479"/>
      <c r="BW120" s="66"/>
      <c r="BX120" s="431"/>
      <c r="BY120" s="68"/>
      <c r="BZ120" s="69"/>
      <c r="CA120" s="61"/>
      <c r="CB120" s="71"/>
      <c r="CC120" s="72"/>
      <c r="CD120" s="434"/>
      <c r="CE120" s="62"/>
      <c r="CF120" s="73"/>
      <c r="CG120" s="74"/>
      <c r="CH120" s="74"/>
      <c r="CI120" s="74"/>
      <c r="CJ120" s="74"/>
      <c r="CK120" s="74"/>
      <c r="CL120" s="74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144"/>
      <c r="DB120" s="144"/>
      <c r="DC120" s="31"/>
      <c r="DD120" s="862"/>
      <c r="DE120" s="31"/>
      <c r="DF120" s="31">
        <f t="shared" si="57"/>
        <v>0</v>
      </c>
      <c r="DG120" s="134">
        <f t="shared" si="60"/>
        <v>0</v>
      </c>
      <c r="DI120" s="826"/>
      <c r="DJ120" s="788"/>
    </row>
    <row r="121" spans="1:114" s="783" customFormat="1" hidden="1">
      <c r="A121" s="177"/>
      <c r="B121" s="187" t="s">
        <v>117</v>
      </c>
      <c r="C121" s="836" t="s">
        <v>54</v>
      </c>
      <c r="D121" s="31">
        <v>3.65</v>
      </c>
      <c r="E121" s="31">
        <v>3.65</v>
      </c>
      <c r="F121" s="31">
        <v>3.65</v>
      </c>
      <c r="G121" s="31">
        <v>3.65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54"/>
      <c r="Y121" s="55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54"/>
      <c r="AK121" s="56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54"/>
      <c r="AW121" s="56"/>
      <c r="AX121" s="179"/>
      <c r="AY121" s="144"/>
      <c r="AZ121" s="184"/>
      <c r="BA121" s="62">
        <v>3.49</v>
      </c>
      <c r="BB121" s="62"/>
      <c r="BC121" s="62"/>
      <c r="BD121" s="62"/>
      <c r="BE121" s="110"/>
      <c r="BF121" s="109"/>
      <c r="BG121" s="62"/>
      <c r="BH121" s="62"/>
      <c r="BI121" s="110"/>
      <c r="BJ121" s="426"/>
      <c r="BK121" s="46"/>
      <c r="BL121" s="428"/>
      <c r="BM121" s="61"/>
      <c r="BN121" s="62"/>
      <c r="BO121" s="470"/>
      <c r="BP121" s="64"/>
      <c r="BQ121" s="61"/>
      <c r="BR121" s="65"/>
      <c r="BS121" s="66"/>
      <c r="BT121" s="64"/>
      <c r="BU121" s="61"/>
      <c r="BV121" s="65"/>
      <c r="BW121" s="66"/>
      <c r="BX121" s="431"/>
      <c r="BY121" s="68"/>
      <c r="BZ121" s="69"/>
      <c r="CA121" s="70"/>
      <c r="CB121" s="71"/>
      <c r="CC121" s="72"/>
      <c r="CD121" s="434"/>
      <c r="CE121" s="62"/>
      <c r="CF121" s="73"/>
      <c r="CG121" s="74"/>
      <c r="CH121" s="74"/>
      <c r="CI121" s="74"/>
      <c r="CJ121" s="74"/>
      <c r="CK121" s="74"/>
      <c r="CL121" s="74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144">
        <v>3.65</v>
      </c>
      <c r="DB121" s="144">
        <v>3.65</v>
      </c>
      <c r="DC121" s="31">
        <v>3.65</v>
      </c>
      <c r="DD121" s="862"/>
      <c r="DE121" s="31">
        <v>3.65</v>
      </c>
      <c r="DF121" s="31">
        <f t="shared" si="57"/>
        <v>1.825</v>
      </c>
      <c r="DG121" s="134">
        <f t="shared" si="60"/>
        <v>1.825</v>
      </c>
      <c r="DI121" s="826"/>
      <c r="DJ121" s="788"/>
    </row>
    <row r="122" spans="1:114" s="783" customFormat="1" hidden="1">
      <c r="A122" s="177"/>
      <c r="B122" s="187" t="s">
        <v>118</v>
      </c>
      <c r="C122" s="836" t="s">
        <v>54</v>
      </c>
      <c r="D122" s="31">
        <v>0.16</v>
      </c>
      <c r="E122" s="31">
        <v>0.16</v>
      </c>
      <c r="F122" s="31">
        <v>0.16</v>
      </c>
      <c r="G122" s="31">
        <v>0.16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54"/>
      <c r="Y122" s="55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54"/>
      <c r="AK122" s="56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54"/>
      <c r="AW122" s="56"/>
      <c r="AX122" s="179"/>
      <c r="AY122" s="144"/>
      <c r="AZ122" s="184"/>
      <c r="BA122" s="62">
        <v>0.15</v>
      </c>
      <c r="BB122" s="62"/>
      <c r="BC122" s="62"/>
      <c r="BD122" s="62"/>
      <c r="BE122" s="110"/>
      <c r="BF122" s="109"/>
      <c r="BG122" s="62"/>
      <c r="BH122" s="62"/>
      <c r="BI122" s="110"/>
      <c r="BJ122" s="426"/>
      <c r="BK122" s="46"/>
      <c r="BL122" s="428"/>
      <c r="BM122" s="61"/>
      <c r="BN122" s="62"/>
      <c r="BO122" s="470"/>
      <c r="BP122" s="64"/>
      <c r="BQ122" s="61"/>
      <c r="BR122" s="65"/>
      <c r="BS122" s="66"/>
      <c r="BT122" s="64"/>
      <c r="BU122" s="61"/>
      <c r="BV122" s="65"/>
      <c r="BW122" s="66"/>
      <c r="BX122" s="431"/>
      <c r="BY122" s="68"/>
      <c r="BZ122" s="69"/>
      <c r="CA122" s="70"/>
      <c r="CB122" s="71"/>
      <c r="CC122" s="72"/>
      <c r="CD122" s="434"/>
      <c r="CE122" s="62"/>
      <c r="CF122" s="73"/>
      <c r="CG122" s="74"/>
      <c r="CH122" s="74"/>
      <c r="CI122" s="74"/>
      <c r="CJ122" s="74"/>
      <c r="CK122" s="74"/>
      <c r="CL122" s="74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144">
        <v>0.16</v>
      </c>
      <c r="DB122" s="144">
        <v>0.16</v>
      </c>
      <c r="DC122" s="31">
        <v>0.16</v>
      </c>
      <c r="DD122" s="862"/>
      <c r="DE122" s="31">
        <v>0.16</v>
      </c>
      <c r="DF122" s="31">
        <f t="shared" si="57"/>
        <v>0.08</v>
      </c>
      <c r="DG122" s="134">
        <f t="shared" si="60"/>
        <v>0.08</v>
      </c>
      <c r="DI122" s="826"/>
      <c r="DJ122" s="788"/>
    </row>
    <row r="123" spans="1:114" s="783" customFormat="1" hidden="1">
      <c r="A123" s="177"/>
      <c r="B123" s="187" t="s">
        <v>10</v>
      </c>
      <c r="C123" s="836" t="s">
        <v>54</v>
      </c>
      <c r="D123" s="31">
        <v>135</v>
      </c>
      <c r="E123" s="31">
        <v>134.99</v>
      </c>
      <c r="F123" s="31">
        <v>134.99</v>
      </c>
      <c r="G123" s="31">
        <v>134.99</v>
      </c>
      <c r="H123" s="134"/>
      <c r="I123" s="134"/>
      <c r="J123" s="134"/>
      <c r="K123" s="134"/>
      <c r="L123" s="134"/>
      <c r="M123" s="134">
        <v>9.91</v>
      </c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54"/>
      <c r="Y123" s="55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54"/>
      <c r="AK123" s="56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54"/>
      <c r="AW123" s="56"/>
      <c r="AX123" s="179"/>
      <c r="AY123" s="144">
        <v>30.77</v>
      </c>
      <c r="AZ123" s="184"/>
      <c r="BA123" s="62">
        <v>19.239999999999998</v>
      </c>
      <c r="BB123" s="62"/>
      <c r="BC123" s="62">
        <v>2.4</v>
      </c>
      <c r="BD123" s="62"/>
      <c r="BE123" s="110">
        <v>0.37</v>
      </c>
      <c r="BF123" s="109">
        <v>0.21</v>
      </c>
      <c r="BG123" s="62"/>
      <c r="BH123" s="62"/>
      <c r="BI123" s="110"/>
      <c r="BJ123" s="426">
        <f>BA123-AZ123</f>
        <v>19.239999999999998</v>
      </c>
      <c r="BK123" s="46"/>
      <c r="BL123" s="428"/>
      <c r="BM123" s="61"/>
      <c r="BN123" s="62"/>
      <c r="BO123" s="470"/>
      <c r="BP123" s="64"/>
      <c r="BQ123" s="61"/>
      <c r="BR123" s="65"/>
      <c r="BS123" s="66"/>
      <c r="BT123" s="64"/>
      <c r="BU123" s="61"/>
      <c r="BV123" s="65"/>
      <c r="BW123" s="66"/>
      <c r="BX123" s="431"/>
      <c r="BY123" s="68"/>
      <c r="BZ123" s="69">
        <f>M123+BM123+BQ123+BU123</f>
        <v>9.91</v>
      </c>
      <c r="CA123" s="70"/>
      <c r="CB123" s="71"/>
      <c r="CC123" s="72">
        <f>BZ123-E123</f>
        <v>-125.08000000000001</v>
      </c>
      <c r="CD123" s="434">
        <v>62.26</v>
      </c>
      <c r="CE123" s="62"/>
      <c r="CF123" s="73"/>
      <c r="CG123" s="74"/>
      <c r="CH123" s="74"/>
      <c r="CI123" s="74"/>
      <c r="CJ123" s="74"/>
      <c r="CK123" s="74"/>
      <c r="CL123" s="74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144">
        <v>134.99</v>
      </c>
      <c r="DB123" s="144">
        <v>40</v>
      </c>
      <c r="DC123" s="31">
        <v>134.99</v>
      </c>
      <c r="DD123" s="862">
        <v>67.84</v>
      </c>
      <c r="DE123" s="31">
        <v>134.99</v>
      </c>
      <c r="DF123" s="31">
        <f t="shared" si="57"/>
        <v>67.495000000000005</v>
      </c>
      <c r="DG123" s="134">
        <f t="shared" si="60"/>
        <v>67.495000000000005</v>
      </c>
      <c r="DI123" s="826"/>
      <c r="DJ123" s="788"/>
    </row>
    <row r="124" spans="1:114" s="783" customFormat="1" hidden="1">
      <c r="A124" s="177"/>
      <c r="B124" s="187" t="s">
        <v>192</v>
      </c>
      <c r="C124" s="836" t="s">
        <v>54</v>
      </c>
      <c r="D124" s="31"/>
      <c r="E124" s="31"/>
      <c r="F124" s="31"/>
      <c r="G124" s="31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54"/>
      <c r="Y124" s="55"/>
      <c r="Z124" s="134"/>
      <c r="AA124" s="134">
        <v>0.71</v>
      </c>
      <c r="AB124" s="134"/>
      <c r="AC124" s="134"/>
      <c r="AD124" s="134"/>
      <c r="AE124" s="134"/>
      <c r="AF124" s="134"/>
      <c r="AG124" s="134"/>
      <c r="AH124" s="134"/>
      <c r="AI124" s="134"/>
      <c r="AJ124" s="54"/>
      <c r="AK124" s="56"/>
      <c r="AL124" s="134"/>
      <c r="AM124" s="134">
        <v>0.71</v>
      </c>
      <c r="AN124" s="134"/>
      <c r="AO124" s="134"/>
      <c r="AP124" s="134"/>
      <c r="AQ124" s="134"/>
      <c r="AR124" s="134"/>
      <c r="AS124" s="134"/>
      <c r="AT124" s="134"/>
      <c r="AU124" s="134"/>
      <c r="AV124" s="54"/>
      <c r="AW124" s="56"/>
      <c r="AX124" s="179"/>
      <c r="AY124" s="144"/>
      <c r="AZ124" s="184"/>
      <c r="BA124" s="62">
        <v>40.82</v>
      </c>
      <c r="BB124" s="62"/>
      <c r="BC124" s="62"/>
      <c r="BD124" s="62"/>
      <c r="BE124" s="110"/>
      <c r="BF124" s="109"/>
      <c r="BG124" s="62">
        <v>55.18</v>
      </c>
      <c r="BH124" s="62"/>
      <c r="BI124" s="110"/>
      <c r="BJ124" s="426">
        <f>BA124-AZ124</f>
        <v>40.82</v>
      </c>
      <c r="BK124" s="46"/>
      <c r="BL124" s="428"/>
      <c r="BM124" s="61">
        <v>0.71</v>
      </c>
      <c r="BN124" s="62"/>
      <c r="BO124" s="470"/>
      <c r="BP124" s="64"/>
      <c r="BQ124" s="61"/>
      <c r="BR124" s="65"/>
      <c r="BS124" s="66"/>
      <c r="BT124" s="64"/>
      <c r="BU124" s="61"/>
      <c r="BV124" s="65"/>
      <c r="BW124" s="66"/>
      <c r="BX124" s="431"/>
      <c r="BY124" s="68"/>
      <c r="BZ124" s="69">
        <f>M124+BM124+BQ124+BU124</f>
        <v>0.71</v>
      </c>
      <c r="CA124" s="70"/>
      <c r="CB124" s="71"/>
      <c r="CC124" s="72">
        <f>BZ124-E124</f>
        <v>0.71</v>
      </c>
      <c r="CD124" s="434">
        <v>64.37</v>
      </c>
      <c r="CE124" s="62"/>
      <c r="CF124" s="73"/>
      <c r="CG124" s="74"/>
      <c r="CH124" s="74"/>
      <c r="CI124" s="74"/>
      <c r="CJ124" s="74"/>
      <c r="CK124" s="74"/>
      <c r="CL124" s="74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144"/>
      <c r="DB124" s="144"/>
      <c r="DC124" s="31"/>
      <c r="DD124" s="862"/>
      <c r="DE124" s="31"/>
      <c r="DF124" s="31">
        <f t="shared" si="57"/>
        <v>0</v>
      </c>
      <c r="DG124" s="134">
        <f t="shared" si="60"/>
        <v>0</v>
      </c>
      <c r="DI124" s="826"/>
      <c r="DJ124" s="788"/>
    </row>
    <row r="125" spans="1:114" s="783" customFormat="1" hidden="1">
      <c r="A125" s="177"/>
      <c r="B125" s="187" t="s">
        <v>309</v>
      </c>
      <c r="C125" s="836" t="s">
        <v>54</v>
      </c>
      <c r="D125" s="31"/>
      <c r="E125" s="31"/>
      <c r="F125" s="31"/>
      <c r="G125" s="31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54"/>
      <c r="Y125" s="55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54"/>
      <c r="AK125" s="56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54"/>
      <c r="AW125" s="56"/>
      <c r="AX125" s="179"/>
      <c r="AY125" s="144">
        <v>3.04</v>
      </c>
      <c r="AZ125" s="184"/>
      <c r="BA125" s="62"/>
      <c r="BB125" s="62"/>
      <c r="BC125" s="62"/>
      <c r="BD125" s="62"/>
      <c r="BE125" s="110"/>
      <c r="BF125" s="109"/>
      <c r="BG125" s="62"/>
      <c r="BH125" s="62"/>
      <c r="BI125" s="110"/>
      <c r="BJ125" s="426"/>
      <c r="BK125" s="46"/>
      <c r="BL125" s="428"/>
      <c r="BM125" s="61"/>
      <c r="BN125" s="62"/>
      <c r="BO125" s="470"/>
      <c r="BP125" s="64"/>
      <c r="BQ125" s="61"/>
      <c r="BR125" s="65"/>
      <c r="BS125" s="66"/>
      <c r="BT125" s="64"/>
      <c r="BU125" s="61"/>
      <c r="BV125" s="65"/>
      <c r="BW125" s="66"/>
      <c r="BX125" s="431"/>
      <c r="BY125" s="68"/>
      <c r="BZ125" s="69"/>
      <c r="CA125" s="70"/>
      <c r="CB125" s="71"/>
      <c r="CC125" s="72"/>
      <c r="CD125" s="434"/>
      <c r="CE125" s="62"/>
      <c r="CF125" s="73"/>
      <c r="CG125" s="74"/>
      <c r="CH125" s="74"/>
      <c r="CI125" s="74"/>
      <c r="CJ125" s="74"/>
      <c r="CK125" s="74"/>
      <c r="CL125" s="74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144"/>
      <c r="DB125" s="144"/>
      <c r="DC125" s="31">
        <v>6</v>
      </c>
      <c r="DD125" s="862">
        <v>27.38</v>
      </c>
      <c r="DE125" s="31">
        <v>6</v>
      </c>
      <c r="DF125" s="31">
        <f t="shared" si="57"/>
        <v>3</v>
      </c>
      <c r="DG125" s="134">
        <f t="shared" si="60"/>
        <v>3</v>
      </c>
      <c r="DI125" s="826"/>
      <c r="DJ125" s="788"/>
    </row>
    <row r="126" spans="1:114" s="783" customFormat="1" hidden="1">
      <c r="A126" s="177"/>
      <c r="B126" s="187" t="s">
        <v>111</v>
      </c>
      <c r="C126" s="836" t="s">
        <v>54</v>
      </c>
      <c r="D126" s="31">
        <v>11.25</v>
      </c>
      <c r="E126" s="31">
        <v>11.25</v>
      </c>
      <c r="F126" s="31">
        <v>11.25</v>
      </c>
      <c r="G126" s="31">
        <v>11.25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54"/>
      <c r="Y126" s="55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54"/>
      <c r="AK126" s="56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54"/>
      <c r="AW126" s="56"/>
      <c r="AX126" s="179"/>
      <c r="AY126" s="144">
        <v>3.24</v>
      </c>
      <c r="AZ126" s="184"/>
      <c r="BA126" s="62">
        <v>7.48</v>
      </c>
      <c r="BB126" s="62"/>
      <c r="BC126" s="62"/>
      <c r="BD126" s="62"/>
      <c r="BE126" s="110"/>
      <c r="BF126" s="109"/>
      <c r="BG126" s="62"/>
      <c r="BH126" s="62"/>
      <c r="BI126" s="110"/>
      <c r="BJ126" s="426"/>
      <c r="BK126" s="46"/>
      <c r="BL126" s="428"/>
      <c r="BM126" s="61"/>
      <c r="BN126" s="62"/>
      <c r="BO126" s="470"/>
      <c r="BP126" s="64"/>
      <c r="BQ126" s="61"/>
      <c r="BR126" s="65"/>
      <c r="BS126" s="66"/>
      <c r="BT126" s="64"/>
      <c r="BU126" s="61"/>
      <c r="BV126" s="65"/>
      <c r="BW126" s="66"/>
      <c r="BX126" s="431"/>
      <c r="BY126" s="68"/>
      <c r="BZ126" s="69"/>
      <c r="CA126" s="70"/>
      <c r="CB126" s="71"/>
      <c r="CC126" s="72"/>
      <c r="CD126" s="434"/>
      <c r="CE126" s="62"/>
      <c r="CF126" s="73"/>
      <c r="CG126" s="74"/>
      <c r="CH126" s="74"/>
      <c r="CI126" s="74"/>
      <c r="CJ126" s="74"/>
      <c r="CK126" s="74"/>
      <c r="CL126" s="74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144">
        <v>11.25</v>
      </c>
      <c r="DB126" s="144">
        <v>11.25</v>
      </c>
      <c r="DC126" s="31">
        <v>11.25</v>
      </c>
      <c r="DD126" s="862"/>
      <c r="DE126" s="31">
        <v>11.25</v>
      </c>
      <c r="DF126" s="31">
        <f t="shared" si="57"/>
        <v>5.625</v>
      </c>
      <c r="DG126" s="134">
        <f t="shared" si="60"/>
        <v>5.625</v>
      </c>
      <c r="DI126" s="826"/>
      <c r="DJ126" s="788"/>
    </row>
    <row r="127" spans="1:114" s="783" customFormat="1" hidden="1">
      <c r="A127" s="194"/>
      <c r="B127" s="195" t="s">
        <v>159</v>
      </c>
      <c r="C127" s="836" t="s">
        <v>54</v>
      </c>
      <c r="D127" s="31">
        <v>3.6</v>
      </c>
      <c r="E127" s="31">
        <v>3.6</v>
      </c>
      <c r="F127" s="31">
        <v>3.6</v>
      </c>
      <c r="G127" s="31">
        <v>3.6</v>
      </c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96"/>
      <c r="Y127" s="197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96"/>
      <c r="AK127" s="198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96"/>
      <c r="AW127" s="198"/>
      <c r="AX127" s="144"/>
      <c r="AY127" s="144">
        <v>3.6</v>
      </c>
      <c r="AZ127" s="149"/>
      <c r="BA127" s="62">
        <v>2.25</v>
      </c>
      <c r="BB127" s="150"/>
      <c r="BC127" s="62">
        <v>1.24</v>
      </c>
      <c r="BD127" s="150"/>
      <c r="BE127" s="110">
        <v>0.1</v>
      </c>
      <c r="BF127" s="149"/>
      <c r="BG127" s="150"/>
      <c r="BH127" s="150"/>
      <c r="BI127" s="151"/>
      <c r="BJ127" s="435"/>
      <c r="BK127" s="482"/>
      <c r="BL127" s="437"/>
      <c r="BM127" s="483"/>
      <c r="BN127" s="150"/>
      <c r="BO127" s="484"/>
      <c r="BP127" s="485"/>
      <c r="BQ127" s="483"/>
      <c r="BR127" s="486"/>
      <c r="BS127" s="487"/>
      <c r="BT127" s="485"/>
      <c r="BU127" s="483"/>
      <c r="BV127" s="486"/>
      <c r="BW127" s="487"/>
      <c r="BX127" s="440"/>
      <c r="BY127" s="488"/>
      <c r="BZ127" s="489"/>
      <c r="CA127" s="490"/>
      <c r="CB127" s="491"/>
      <c r="CC127" s="246"/>
      <c r="CD127" s="443"/>
      <c r="CE127" s="150"/>
      <c r="CF127" s="492"/>
      <c r="CG127" s="74"/>
      <c r="CH127" s="74"/>
      <c r="CI127" s="74"/>
      <c r="CJ127" s="74"/>
      <c r="CK127" s="74"/>
      <c r="CL127" s="74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144">
        <v>3.6</v>
      </c>
      <c r="DB127" s="144">
        <v>3.6</v>
      </c>
      <c r="DC127" s="31">
        <v>3.6</v>
      </c>
      <c r="DD127" s="862">
        <v>3.6</v>
      </c>
      <c r="DE127" s="31">
        <v>3.6</v>
      </c>
      <c r="DF127" s="31">
        <f t="shared" si="57"/>
        <v>1.8</v>
      </c>
      <c r="DG127" s="134">
        <f t="shared" si="60"/>
        <v>1.8</v>
      </c>
      <c r="DI127" s="826"/>
      <c r="DJ127" s="788"/>
    </row>
    <row r="128" spans="1:114" s="783" customFormat="1" hidden="1">
      <c r="A128" s="194"/>
      <c r="B128" s="195" t="s">
        <v>8</v>
      </c>
      <c r="C128" s="836" t="s">
        <v>54</v>
      </c>
      <c r="D128" s="31">
        <v>8</v>
      </c>
      <c r="E128" s="31">
        <v>8</v>
      </c>
      <c r="F128" s="31">
        <v>8</v>
      </c>
      <c r="G128" s="31">
        <v>8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96"/>
      <c r="Y128" s="197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96"/>
      <c r="AK128" s="198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96"/>
      <c r="AW128" s="198"/>
      <c r="AX128" s="144"/>
      <c r="AY128" s="144"/>
      <c r="AZ128" s="149"/>
      <c r="BA128" s="62"/>
      <c r="BB128" s="150"/>
      <c r="BC128" s="62"/>
      <c r="BD128" s="150"/>
      <c r="BE128" s="151"/>
      <c r="BF128" s="149"/>
      <c r="BG128" s="150"/>
      <c r="BH128" s="150"/>
      <c r="BI128" s="151"/>
      <c r="BJ128" s="435"/>
      <c r="BK128" s="482"/>
      <c r="BL128" s="437"/>
      <c r="BM128" s="483"/>
      <c r="BN128" s="150"/>
      <c r="BO128" s="484"/>
      <c r="BP128" s="485"/>
      <c r="BQ128" s="483"/>
      <c r="BR128" s="486"/>
      <c r="BS128" s="487"/>
      <c r="BT128" s="485"/>
      <c r="BU128" s="483"/>
      <c r="BV128" s="486"/>
      <c r="BW128" s="487"/>
      <c r="BX128" s="440"/>
      <c r="BY128" s="488"/>
      <c r="BZ128" s="489"/>
      <c r="CA128" s="490"/>
      <c r="CB128" s="491"/>
      <c r="CC128" s="246"/>
      <c r="CD128" s="443"/>
      <c r="CE128" s="150"/>
      <c r="CF128" s="492"/>
      <c r="CG128" s="74"/>
      <c r="CH128" s="74"/>
      <c r="CI128" s="74"/>
      <c r="CJ128" s="74"/>
      <c r="CK128" s="74"/>
      <c r="CL128" s="74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144">
        <v>8</v>
      </c>
      <c r="DB128" s="144">
        <v>8</v>
      </c>
      <c r="DC128" s="31">
        <v>8</v>
      </c>
      <c r="DD128" s="862"/>
      <c r="DE128" s="31">
        <v>8</v>
      </c>
      <c r="DF128" s="31">
        <f t="shared" si="57"/>
        <v>4</v>
      </c>
      <c r="DG128" s="134">
        <f t="shared" si="60"/>
        <v>4</v>
      </c>
      <c r="DI128" s="826"/>
      <c r="DJ128" s="788"/>
    </row>
    <row r="129" spans="1:114" s="783" customFormat="1" hidden="1">
      <c r="A129" s="194"/>
      <c r="B129" s="195" t="s">
        <v>175</v>
      </c>
      <c r="C129" s="836" t="s">
        <v>54</v>
      </c>
      <c r="D129" s="31">
        <v>5.25</v>
      </c>
      <c r="E129" s="31">
        <v>6</v>
      </c>
      <c r="F129" s="31">
        <v>6</v>
      </c>
      <c r="G129" s="31">
        <v>6</v>
      </c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96"/>
      <c r="Y129" s="197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96"/>
      <c r="AK129" s="198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96"/>
      <c r="AW129" s="198"/>
      <c r="AX129" s="144"/>
      <c r="AY129" s="144"/>
      <c r="AZ129" s="149"/>
      <c r="BA129" s="62"/>
      <c r="BB129" s="150"/>
      <c r="BC129" s="62"/>
      <c r="BD129" s="150"/>
      <c r="BE129" s="151"/>
      <c r="BF129" s="149"/>
      <c r="BG129" s="150"/>
      <c r="BH129" s="150"/>
      <c r="BI129" s="151"/>
      <c r="BJ129" s="435"/>
      <c r="BK129" s="482"/>
      <c r="BL129" s="437"/>
      <c r="BM129" s="483"/>
      <c r="BN129" s="150"/>
      <c r="BO129" s="484"/>
      <c r="BP129" s="485"/>
      <c r="BQ129" s="483"/>
      <c r="BR129" s="486"/>
      <c r="BS129" s="487"/>
      <c r="BT129" s="485"/>
      <c r="BU129" s="483"/>
      <c r="BV129" s="486"/>
      <c r="BW129" s="487"/>
      <c r="BX129" s="440"/>
      <c r="BY129" s="488"/>
      <c r="BZ129" s="489"/>
      <c r="CA129" s="490"/>
      <c r="CB129" s="491"/>
      <c r="CC129" s="246"/>
      <c r="CD129" s="443"/>
      <c r="CE129" s="150"/>
      <c r="CF129" s="492"/>
      <c r="CG129" s="74"/>
      <c r="CH129" s="74"/>
      <c r="CI129" s="74"/>
      <c r="CJ129" s="74"/>
      <c r="CK129" s="74"/>
      <c r="CL129" s="74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144">
        <v>6</v>
      </c>
      <c r="DB129" s="144">
        <v>6</v>
      </c>
      <c r="DC129" s="31">
        <v>6</v>
      </c>
      <c r="DD129" s="862"/>
      <c r="DE129" s="31">
        <v>6</v>
      </c>
      <c r="DF129" s="31">
        <f t="shared" si="57"/>
        <v>3</v>
      </c>
      <c r="DG129" s="134">
        <f t="shared" si="60"/>
        <v>3</v>
      </c>
      <c r="DI129" s="826"/>
      <c r="DJ129" s="788"/>
    </row>
    <row r="130" spans="1:114" s="783" customFormat="1" hidden="1">
      <c r="A130" s="194"/>
      <c r="B130" s="195" t="s">
        <v>56</v>
      </c>
      <c r="C130" s="836" t="s">
        <v>54</v>
      </c>
      <c r="D130" s="31">
        <v>100.1</v>
      </c>
      <c r="E130" s="31"/>
      <c r="F130" s="31"/>
      <c r="G130" s="31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96"/>
      <c r="Y130" s="197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96"/>
      <c r="AK130" s="198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96"/>
      <c r="AW130" s="198"/>
      <c r="AX130" s="144"/>
      <c r="AY130" s="144"/>
      <c r="AZ130" s="149"/>
      <c r="BA130" s="62">
        <v>61.6</v>
      </c>
      <c r="BB130" s="150"/>
      <c r="BC130" s="62">
        <v>30.8</v>
      </c>
      <c r="BD130" s="150"/>
      <c r="BE130" s="151"/>
      <c r="BF130" s="149"/>
      <c r="BG130" s="150"/>
      <c r="BH130" s="150"/>
      <c r="BI130" s="151"/>
      <c r="BJ130" s="435"/>
      <c r="BK130" s="482"/>
      <c r="BL130" s="437"/>
      <c r="BM130" s="483"/>
      <c r="BN130" s="150"/>
      <c r="BO130" s="484"/>
      <c r="BP130" s="485"/>
      <c r="BQ130" s="483"/>
      <c r="BR130" s="486"/>
      <c r="BS130" s="487"/>
      <c r="BT130" s="485"/>
      <c r="BU130" s="483"/>
      <c r="BV130" s="486"/>
      <c r="BW130" s="487"/>
      <c r="BX130" s="440"/>
      <c r="BY130" s="488"/>
      <c r="BZ130" s="489"/>
      <c r="CA130" s="490"/>
      <c r="CB130" s="491"/>
      <c r="CC130" s="246"/>
      <c r="CD130" s="443"/>
      <c r="CE130" s="150"/>
      <c r="CF130" s="492"/>
      <c r="CG130" s="74"/>
      <c r="CH130" s="74"/>
      <c r="CI130" s="74"/>
      <c r="CJ130" s="74"/>
      <c r="CK130" s="74"/>
      <c r="CL130" s="74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144"/>
      <c r="DB130" s="144"/>
      <c r="DC130" s="31"/>
      <c r="DD130" s="862"/>
      <c r="DE130" s="31"/>
      <c r="DF130" s="31">
        <f t="shared" si="57"/>
        <v>0</v>
      </c>
      <c r="DG130" s="134">
        <f t="shared" si="60"/>
        <v>0</v>
      </c>
      <c r="DI130" s="826"/>
      <c r="DJ130" s="788"/>
    </row>
    <row r="131" spans="1:114" s="783" customFormat="1" hidden="1">
      <c r="A131" s="177"/>
      <c r="B131" s="187" t="s">
        <v>158</v>
      </c>
      <c r="C131" s="836" t="s">
        <v>54</v>
      </c>
      <c r="D131" s="31"/>
      <c r="E131" s="31"/>
      <c r="F131" s="31"/>
      <c r="G131" s="31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54"/>
      <c r="Y131" s="55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54"/>
      <c r="AK131" s="56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54"/>
      <c r="AW131" s="56"/>
      <c r="AX131" s="179"/>
      <c r="AY131" s="144">
        <v>1.3</v>
      </c>
      <c r="AZ131" s="184"/>
      <c r="BA131" s="62"/>
      <c r="BB131" s="62"/>
      <c r="BC131" s="62"/>
      <c r="BD131" s="62"/>
      <c r="BE131" s="110"/>
      <c r="BF131" s="109"/>
      <c r="BG131" s="62">
        <v>1.1000000000000001</v>
      </c>
      <c r="BH131" s="62"/>
      <c r="BI131" s="110"/>
      <c r="BJ131" s="426"/>
      <c r="BK131" s="46"/>
      <c r="BL131" s="428"/>
      <c r="BM131" s="61"/>
      <c r="BN131" s="62"/>
      <c r="BO131" s="470"/>
      <c r="BP131" s="64"/>
      <c r="BQ131" s="61"/>
      <c r="BR131" s="65"/>
      <c r="BS131" s="66"/>
      <c r="BT131" s="64"/>
      <c r="BU131" s="61"/>
      <c r="BV131" s="65"/>
      <c r="BW131" s="66"/>
      <c r="BX131" s="431"/>
      <c r="BY131" s="68"/>
      <c r="BZ131" s="69"/>
      <c r="CA131" s="70"/>
      <c r="CB131" s="71"/>
      <c r="CC131" s="72"/>
      <c r="CD131" s="434"/>
      <c r="CE131" s="62"/>
      <c r="CF131" s="73"/>
      <c r="CG131" s="74"/>
      <c r="CH131" s="74"/>
      <c r="CI131" s="74"/>
      <c r="CJ131" s="74"/>
      <c r="CK131" s="74"/>
      <c r="CL131" s="74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144"/>
      <c r="DB131" s="144"/>
      <c r="DC131" s="31"/>
      <c r="DD131" s="862"/>
      <c r="DE131" s="31"/>
      <c r="DF131" s="31">
        <f t="shared" si="57"/>
        <v>0</v>
      </c>
      <c r="DG131" s="134">
        <f t="shared" si="60"/>
        <v>0</v>
      </c>
      <c r="DI131" s="826"/>
      <c r="DJ131" s="788"/>
    </row>
    <row r="132" spans="1:114" s="783" customFormat="1" hidden="1">
      <c r="A132" s="194"/>
      <c r="B132" s="195" t="s">
        <v>19</v>
      </c>
      <c r="C132" s="837" t="s">
        <v>54</v>
      </c>
      <c r="D132" s="31"/>
      <c r="E132" s="31">
        <v>12</v>
      </c>
      <c r="F132" s="31">
        <v>12</v>
      </c>
      <c r="G132" s="31">
        <v>12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218"/>
      <c r="Y132" s="197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218"/>
      <c r="AK132" s="198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218"/>
      <c r="AW132" s="198"/>
      <c r="AX132" s="193"/>
      <c r="AY132" s="144">
        <v>4.8600000000000003</v>
      </c>
      <c r="AZ132" s="204"/>
      <c r="BA132" s="62"/>
      <c r="BB132" s="150"/>
      <c r="BC132" s="62"/>
      <c r="BD132" s="150"/>
      <c r="BE132" s="151"/>
      <c r="BF132" s="149">
        <v>11.67</v>
      </c>
      <c r="BG132" s="150"/>
      <c r="BH132" s="150"/>
      <c r="BI132" s="151"/>
      <c r="BJ132" s="435"/>
      <c r="BK132" s="482"/>
      <c r="BL132" s="437"/>
      <c r="BM132" s="483"/>
      <c r="BN132" s="150"/>
      <c r="BO132" s="484"/>
      <c r="BP132" s="485"/>
      <c r="BQ132" s="483"/>
      <c r="BR132" s="486"/>
      <c r="BS132" s="487"/>
      <c r="BT132" s="485"/>
      <c r="BU132" s="483"/>
      <c r="BV132" s="486"/>
      <c r="BW132" s="487"/>
      <c r="BX132" s="440"/>
      <c r="BY132" s="488"/>
      <c r="BZ132" s="489"/>
      <c r="CA132" s="490"/>
      <c r="CB132" s="491"/>
      <c r="CC132" s="246"/>
      <c r="CD132" s="443"/>
      <c r="CE132" s="150"/>
      <c r="CF132" s="492"/>
      <c r="CG132" s="74"/>
      <c r="CH132" s="74"/>
      <c r="CI132" s="74"/>
      <c r="CJ132" s="74"/>
      <c r="CK132" s="74"/>
      <c r="CL132" s="74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144">
        <v>12</v>
      </c>
      <c r="DB132" s="144">
        <v>12</v>
      </c>
      <c r="DC132" s="31">
        <v>12</v>
      </c>
      <c r="DD132" s="862">
        <v>12.96</v>
      </c>
      <c r="DE132" s="31">
        <v>12</v>
      </c>
      <c r="DF132" s="31">
        <f t="shared" si="57"/>
        <v>6</v>
      </c>
      <c r="DG132" s="134">
        <f t="shared" si="60"/>
        <v>6</v>
      </c>
      <c r="DI132" s="826"/>
      <c r="DJ132" s="788"/>
    </row>
    <row r="133" spans="1:114" s="783" customFormat="1" hidden="1">
      <c r="A133" s="194"/>
      <c r="B133" s="195" t="s">
        <v>310</v>
      </c>
      <c r="C133" s="837" t="s">
        <v>54</v>
      </c>
      <c r="D133" s="78"/>
      <c r="E133" s="78"/>
      <c r="F133" s="78"/>
      <c r="G133" s="78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218"/>
      <c r="Y133" s="197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218"/>
      <c r="AK133" s="198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218"/>
      <c r="AW133" s="198"/>
      <c r="AX133" s="193"/>
      <c r="AY133" s="144">
        <v>14.03</v>
      </c>
      <c r="AZ133" s="204"/>
      <c r="BA133" s="62"/>
      <c r="BB133" s="150"/>
      <c r="BC133" s="62"/>
      <c r="BD133" s="150"/>
      <c r="BE133" s="151"/>
      <c r="BF133" s="149"/>
      <c r="BG133" s="150"/>
      <c r="BH133" s="150"/>
      <c r="BI133" s="151"/>
      <c r="BJ133" s="435"/>
      <c r="BK133" s="482"/>
      <c r="BL133" s="437"/>
      <c r="BM133" s="483"/>
      <c r="BN133" s="150"/>
      <c r="BO133" s="484"/>
      <c r="BP133" s="485"/>
      <c r="BQ133" s="483"/>
      <c r="BR133" s="486"/>
      <c r="BS133" s="487"/>
      <c r="BT133" s="485"/>
      <c r="BU133" s="483"/>
      <c r="BV133" s="486"/>
      <c r="BW133" s="487"/>
      <c r="BX133" s="440"/>
      <c r="BY133" s="488"/>
      <c r="BZ133" s="489"/>
      <c r="CA133" s="490"/>
      <c r="CB133" s="491"/>
      <c r="CC133" s="246"/>
      <c r="CD133" s="443"/>
      <c r="CE133" s="150"/>
      <c r="CF133" s="492"/>
      <c r="CG133" s="74"/>
      <c r="CH133" s="74"/>
      <c r="CI133" s="74"/>
      <c r="CJ133" s="74"/>
      <c r="CK133" s="74"/>
      <c r="CL133" s="74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144"/>
      <c r="DB133" s="144"/>
      <c r="DC133" s="78"/>
      <c r="DD133" s="864"/>
      <c r="DE133" s="78"/>
      <c r="DF133" s="31">
        <f t="shared" si="57"/>
        <v>0</v>
      </c>
      <c r="DG133" s="134">
        <f t="shared" si="60"/>
        <v>0</v>
      </c>
      <c r="DI133" s="826"/>
      <c r="DJ133" s="788"/>
    </row>
    <row r="134" spans="1:114" s="783" customFormat="1" hidden="1">
      <c r="A134" s="194"/>
      <c r="B134" s="195" t="s">
        <v>63</v>
      </c>
      <c r="C134" s="837" t="s">
        <v>54</v>
      </c>
      <c r="D134" s="31"/>
      <c r="E134" s="31"/>
      <c r="F134" s="31"/>
      <c r="G134" s="31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96"/>
      <c r="Y134" s="197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96"/>
      <c r="AK134" s="198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96"/>
      <c r="AW134" s="198"/>
      <c r="AX134" s="144"/>
      <c r="AY134" s="144"/>
      <c r="AZ134" s="149"/>
      <c r="BA134" s="62"/>
      <c r="BB134" s="150"/>
      <c r="BC134" s="62"/>
      <c r="BD134" s="150"/>
      <c r="BE134" s="151"/>
      <c r="BF134" s="149"/>
      <c r="BG134" s="150"/>
      <c r="BH134" s="150"/>
      <c r="BI134" s="151"/>
      <c r="BJ134" s="435"/>
      <c r="BK134" s="482"/>
      <c r="BL134" s="437"/>
      <c r="BM134" s="483"/>
      <c r="BN134" s="150"/>
      <c r="BO134" s="484"/>
      <c r="BP134" s="485"/>
      <c r="BQ134" s="483"/>
      <c r="BR134" s="486"/>
      <c r="BS134" s="487"/>
      <c r="BT134" s="485"/>
      <c r="BU134" s="483"/>
      <c r="BV134" s="486"/>
      <c r="BW134" s="487"/>
      <c r="BX134" s="440"/>
      <c r="BY134" s="488"/>
      <c r="BZ134" s="489"/>
      <c r="CA134" s="490"/>
      <c r="CB134" s="491"/>
      <c r="CC134" s="246"/>
      <c r="CD134" s="443"/>
      <c r="CE134" s="150"/>
      <c r="CF134" s="492"/>
      <c r="CG134" s="74"/>
      <c r="CH134" s="74"/>
      <c r="CI134" s="74"/>
      <c r="CJ134" s="74"/>
      <c r="CK134" s="74"/>
      <c r="CL134" s="74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144"/>
      <c r="DB134" s="144"/>
      <c r="DC134" s="31"/>
      <c r="DD134" s="862"/>
      <c r="DE134" s="31"/>
      <c r="DF134" s="31">
        <f t="shared" si="57"/>
        <v>0</v>
      </c>
      <c r="DG134" s="134">
        <f t="shared" si="60"/>
        <v>0</v>
      </c>
      <c r="DI134" s="826"/>
      <c r="DJ134" s="788"/>
    </row>
    <row r="135" spans="1:114" s="783" customFormat="1" hidden="1">
      <c r="A135" s="177"/>
      <c r="B135" s="187" t="s">
        <v>193</v>
      </c>
      <c r="C135" s="837" t="s">
        <v>54</v>
      </c>
      <c r="D135" s="31"/>
      <c r="E135" s="31"/>
      <c r="F135" s="31"/>
      <c r="G135" s="31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54"/>
      <c r="Y135" s="55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54"/>
      <c r="AK135" s="56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54"/>
      <c r="AW135" s="56"/>
      <c r="AX135" s="179"/>
      <c r="AY135" s="144">
        <v>67.680000000000007</v>
      </c>
      <c r="AZ135" s="184"/>
      <c r="BA135" s="62"/>
      <c r="BB135" s="62"/>
      <c r="BC135" s="62"/>
      <c r="BD135" s="62"/>
      <c r="BE135" s="110"/>
      <c r="BF135" s="109"/>
      <c r="BG135" s="62">
        <v>98.12</v>
      </c>
      <c r="BH135" s="62"/>
      <c r="BI135" s="110"/>
      <c r="BJ135" s="426">
        <f>BA135-AZ135</f>
        <v>0</v>
      </c>
      <c r="BK135" s="46"/>
      <c r="BL135" s="428"/>
      <c r="BM135" s="61"/>
      <c r="BN135" s="62"/>
      <c r="BO135" s="470"/>
      <c r="BP135" s="64"/>
      <c r="BQ135" s="61"/>
      <c r="BR135" s="65"/>
      <c r="BS135" s="66"/>
      <c r="BT135" s="64"/>
      <c r="BU135" s="61"/>
      <c r="BV135" s="65"/>
      <c r="BW135" s="66"/>
      <c r="BX135" s="431"/>
      <c r="BY135" s="68"/>
      <c r="BZ135" s="69">
        <f>M135+BM135+BQ135+BU135</f>
        <v>0</v>
      </c>
      <c r="CA135" s="70"/>
      <c r="CB135" s="71"/>
      <c r="CC135" s="72">
        <f>BZ135-E135</f>
        <v>0</v>
      </c>
      <c r="CD135" s="434">
        <v>11.15</v>
      </c>
      <c r="CE135" s="62"/>
      <c r="CF135" s="73"/>
      <c r="CG135" s="74"/>
      <c r="CH135" s="74"/>
      <c r="CI135" s="74"/>
      <c r="CJ135" s="74"/>
      <c r="CK135" s="74"/>
      <c r="CL135" s="74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144"/>
      <c r="DB135" s="144"/>
      <c r="DC135" s="31"/>
      <c r="DD135" s="862"/>
      <c r="DE135" s="31"/>
      <c r="DF135" s="31"/>
      <c r="DG135" s="134"/>
      <c r="DI135" s="826"/>
      <c r="DJ135" s="788"/>
    </row>
    <row r="136" spans="1:114" s="783" customFormat="1">
      <c r="A136" s="208" t="s">
        <v>263</v>
      </c>
      <c r="B136" s="160" t="s">
        <v>341</v>
      </c>
      <c r="C136" s="833" t="s">
        <v>54</v>
      </c>
      <c r="D136" s="117">
        <f>SUM(D137,D145,D148)</f>
        <v>2432.5800000000004</v>
      </c>
      <c r="E136" s="117">
        <f>SUM(E137,E145,E148)</f>
        <v>2698.21</v>
      </c>
      <c r="F136" s="117">
        <f>SUM(F137,F145,F148)</f>
        <v>2698.21</v>
      </c>
      <c r="G136" s="117">
        <f>SUM(G137,G145,G148)</f>
        <v>2698.21</v>
      </c>
      <c r="H136" s="117" t="e">
        <f>#REF!+H137+#REF!+#REF!+H148+#REF!</f>
        <v>#REF!</v>
      </c>
      <c r="I136" s="117" t="e">
        <f>#REF!+I137+#REF!+#REF!+I148+#REF!</f>
        <v>#REF!</v>
      </c>
      <c r="J136" s="117" t="e">
        <f>#REF!+J137+#REF!+#REF!+J148+#REF!</f>
        <v>#REF!</v>
      </c>
      <c r="K136" s="117" t="e">
        <f>#REF!+K137+#REF!+#REF!+K148+#REF!</f>
        <v>#REF!</v>
      </c>
      <c r="L136" s="117" t="e">
        <f>#REF!+L137+#REF!+#REF!+L148+#REF!</f>
        <v>#REF!</v>
      </c>
      <c r="M136" s="117" t="e">
        <f>#REF!+M137+#REF!+#REF!+M148+#REF!</f>
        <v>#REF!</v>
      </c>
      <c r="N136" s="117">
        <v>201.55</v>
      </c>
      <c r="O136" s="117">
        <v>195.33</v>
      </c>
      <c r="P136" s="117">
        <v>22.39</v>
      </c>
      <c r="Q136" s="117" t="e">
        <f>#REF!+Q137</f>
        <v>#REF!</v>
      </c>
      <c r="R136" s="117" t="e">
        <f>#REF!+R137+#REF!+#REF!+R148+#REF!</f>
        <v>#REF!</v>
      </c>
      <c r="S136" s="117">
        <v>224.63</v>
      </c>
      <c r="T136" s="117" t="e">
        <f>#REF!+T137+#REF!+#REF!+T148+#REF!</f>
        <v>#REF!</v>
      </c>
      <c r="U136" s="117" t="e">
        <f>#REF!+U137+#REF!+#REF!+U148+#REF!</f>
        <v>#REF!</v>
      </c>
      <c r="V136" s="117">
        <f>V137</f>
        <v>7.34</v>
      </c>
      <c r="W136" s="117"/>
      <c r="X136" s="209"/>
      <c r="Y136" s="210"/>
      <c r="Z136" s="117" t="e">
        <f>#REF!+Z137+#REF!+#REF!+Z148+#REF!</f>
        <v>#REF!</v>
      </c>
      <c r="AA136" s="117" t="e">
        <f>#REF!+AA137+#REF!+#REF!+AA148+#REF!</f>
        <v>#REF!</v>
      </c>
      <c r="AB136" s="117" t="e">
        <f>#REF!+AB137+#REF!+#REF!+AB148+#REF!</f>
        <v>#REF!</v>
      </c>
      <c r="AC136" s="117" t="e">
        <f>#REF!+AC137+#REF!+#REF!+AC148+#REF!</f>
        <v>#REF!</v>
      </c>
      <c r="AD136" s="117" t="e">
        <f>#REF!+AD137+#REF!+#REF!+AD148+#REF!</f>
        <v>#REF!</v>
      </c>
      <c r="AE136" s="117" t="e">
        <f>#REF!+AE137+#REF!+#REF!+AE148+#REF!</f>
        <v>#REF!</v>
      </c>
      <c r="AF136" s="117" t="e">
        <f>#REF!+AF137+#REF!+#REF!+AF148+#REF!</f>
        <v>#REF!</v>
      </c>
      <c r="AG136" s="117" t="e">
        <f>#REF!+AG137+#REF!+#REF!+AG148+#REF!</f>
        <v>#REF!</v>
      </c>
      <c r="AH136" s="117">
        <f>AH137</f>
        <v>0</v>
      </c>
      <c r="AI136" s="117"/>
      <c r="AJ136" s="209"/>
      <c r="AK136" s="211"/>
      <c r="AL136" s="117" t="e">
        <f>#REF!+AL137+#REF!+#REF!+AL148+#REF!</f>
        <v>#REF!</v>
      </c>
      <c r="AM136" s="117" t="e">
        <f>#REF!+AM137+#REF!+#REF!+AM148+#REF!</f>
        <v>#REF!</v>
      </c>
      <c r="AN136" s="117" t="e">
        <f>#REF!+AN137+#REF!+#REF!+AN148+#REF!</f>
        <v>#REF!</v>
      </c>
      <c r="AO136" s="117" t="e">
        <f>#REF!+AO137+#REF!+#REF!+AO148+#REF!</f>
        <v>#REF!</v>
      </c>
      <c r="AP136" s="117" t="e">
        <f>#REF!+AP137+#REF!+#REF!+AP148+#REF!</f>
        <v>#REF!</v>
      </c>
      <c r="AQ136" s="117" t="e">
        <f>#REF!+AQ137+#REF!+#REF!+AQ148+#REF!</f>
        <v>#REF!</v>
      </c>
      <c r="AR136" s="117" t="e">
        <f>#REF!+AR137+#REF!+#REF!+AR148+#REF!</f>
        <v>#REF!</v>
      </c>
      <c r="AS136" s="117" t="e">
        <f>#REF!+AS137+#REF!+#REF!+AS148+#REF!</f>
        <v>#REF!</v>
      </c>
      <c r="AT136" s="117">
        <f>AT137</f>
        <v>0</v>
      </c>
      <c r="AU136" s="117"/>
      <c r="AV136" s="209"/>
      <c r="AW136" s="211"/>
      <c r="AX136" s="117">
        <f>G136/2</f>
        <v>1349.105</v>
      </c>
      <c r="AY136" s="117">
        <f>SUM(AY137,AY145,AY148,AY142)</f>
        <v>2746.53</v>
      </c>
      <c r="AZ136" s="121" t="e">
        <f>#REF!+AZ137+#REF!+#REF!+AZ148+#REF!</f>
        <v>#REF!</v>
      </c>
      <c r="BA136" s="122">
        <f t="shared" ref="BA136:BG136" si="61">SUM(BA137,BA142,BA145,BA148)</f>
        <v>1098.29</v>
      </c>
      <c r="BB136" s="122">
        <f t="shared" si="61"/>
        <v>0</v>
      </c>
      <c r="BC136" s="122">
        <f t="shared" si="61"/>
        <v>964.4</v>
      </c>
      <c r="BD136" s="122">
        <f t="shared" si="61"/>
        <v>0</v>
      </c>
      <c r="BE136" s="123">
        <f t="shared" si="61"/>
        <v>236.35</v>
      </c>
      <c r="BF136" s="121">
        <f t="shared" si="61"/>
        <v>174.54327000000001</v>
      </c>
      <c r="BG136" s="122">
        <f t="shared" si="61"/>
        <v>172.66761</v>
      </c>
      <c r="BH136" s="122"/>
      <c r="BI136" s="123"/>
      <c r="BJ136" s="288" t="e">
        <f t="shared" ref="BJ136:BJ160" si="62">BA136-AZ136</f>
        <v>#REF!</v>
      </c>
      <c r="BK136" s="515" t="e">
        <f t="shared" ref="BK136:BK141" si="63">BA136/AZ136</f>
        <v>#REF!</v>
      </c>
      <c r="BL136" s="408"/>
      <c r="BM136" s="516" t="e">
        <f>#REF!+BM137+#REF!+#REF!+BM148+#REF!</f>
        <v>#REF!</v>
      </c>
      <c r="BN136" s="122"/>
      <c r="BO136" s="409"/>
      <c r="BP136" s="448"/>
      <c r="BQ136" s="516"/>
      <c r="BR136" s="517"/>
      <c r="BS136" s="518"/>
      <c r="BT136" s="448"/>
      <c r="BU136" s="516"/>
      <c r="BV136" s="517"/>
      <c r="BW136" s="518"/>
      <c r="BX136" s="411">
        <v>4042.09</v>
      </c>
      <c r="BY136" s="449">
        <f>F136</f>
        <v>2698.21</v>
      </c>
      <c r="BZ136" s="209" t="e">
        <f>M136+BM136+BQ136+BU136</f>
        <v>#REF!</v>
      </c>
      <c r="CA136" s="516" t="e">
        <f>BZ136-BY136</f>
        <v>#REF!</v>
      </c>
      <c r="CB136" s="515" t="e">
        <f>BZ136/BY136</f>
        <v>#REF!</v>
      </c>
      <c r="CC136" s="444" t="e">
        <f>BZ136-E136</f>
        <v>#REF!</v>
      </c>
      <c r="CD136" s="415" t="e">
        <f>BZ136-CE136</f>
        <v>#REF!</v>
      </c>
      <c r="CE136" s="122">
        <v>188.68</v>
      </c>
      <c r="CF136" s="519">
        <v>0</v>
      </c>
      <c r="CG136" s="450"/>
      <c r="CH136" s="450"/>
      <c r="CI136" s="450"/>
      <c r="CJ136" s="450"/>
      <c r="CK136" s="450"/>
      <c r="CL136" s="450"/>
      <c r="CM136" s="451"/>
      <c r="CN136" s="451"/>
      <c r="CO136" s="451"/>
      <c r="CP136" s="451"/>
      <c r="CQ136" s="451"/>
      <c r="CR136" s="451"/>
      <c r="CS136" s="451"/>
      <c r="CT136" s="451"/>
      <c r="CU136" s="451"/>
      <c r="CV136" s="451"/>
      <c r="CW136" s="451"/>
      <c r="CX136" s="451"/>
      <c r="CY136" s="451"/>
      <c r="CZ136" s="451"/>
      <c r="DA136" s="117">
        <f>SUM(DA137,DA145,DA148,DA142)</f>
        <v>2698.2119699999998</v>
      </c>
      <c r="DB136" s="117">
        <f>SUM(DB137,DB145,DB148,DB142)</f>
        <v>2698.2119699999998</v>
      </c>
      <c r="DC136" s="117">
        <f>SUM(DC137,DC145,DC147,DC148)</f>
        <v>3720.2919000000002</v>
      </c>
      <c r="DD136" s="865">
        <f>SUM(DD137,DD145,DD147,DD148)</f>
        <v>3616.7200000000003</v>
      </c>
      <c r="DE136" s="117">
        <f>SUM(DE137,DE145,DE147,DE148)</f>
        <v>3741.9737500000001</v>
      </c>
      <c r="DF136" s="117">
        <f>SUM(DF137,DF145,DF148)</f>
        <v>1501.494375</v>
      </c>
      <c r="DG136" s="117">
        <f>SUM(DG137,DG145,DG148)</f>
        <v>1501.494375</v>
      </c>
      <c r="DI136" s="826"/>
      <c r="DJ136" s="788"/>
    </row>
    <row r="137" spans="1:114" s="783" customFormat="1">
      <c r="A137" s="177" t="s">
        <v>138</v>
      </c>
      <c r="B137" s="178" t="s">
        <v>2</v>
      </c>
      <c r="C137" s="838" t="s">
        <v>54</v>
      </c>
      <c r="D137" s="179">
        <f>SUM(D138,D141)</f>
        <v>2391.7600000000002</v>
      </c>
      <c r="E137" s="179">
        <f>SUM(E138,E141)</f>
        <v>2656.21</v>
      </c>
      <c r="F137" s="179">
        <f>SUM(F138,F141)</f>
        <v>2656.21</v>
      </c>
      <c r="G137" s="179">
        <f>SUM(G138,G141)</f>
        <v>2656.21</v>
      </c>
      <c r="H137" s="180">
        <f t="shared" ref="H137:N137" si="64">H138+H141</f>
        <v>2088.1799999999998</v>
      </c>
      <c r="I137" s="180">
        <f t="shared" si="64"/>
        <v>1632.23</v>
      </c>
      <c r="J137" s="180">
        <f t="shared" si="64"/>
        <v>226.17</v>
      </c>
      <c r="K137" s="180">
        <f t="shared" si="64"/>
        <v>1406.06</v>
      </c>
      <c r="L137" s="180">
        <f t="shared" si="64"/>
        <v>221.3508333333333</v>
      </c>
      <c r="M137" s="180">
        <f t="shared" si="64"/>
        <v>295.68180999999998</v>
      </c>
      <c r="N137" s="180">
        <f t="shared" si="64"/>
        <v>154.01999999999998</v>
      </c>
      <c r="O137" s="180">
        <v>148.74</v>
      </c>
      <c r="P137" s="180">
        <f>P138+P141</f>
        <v>20</v>
      </c>
      <c r="Q137" s="180">
        <v>19.36</v>
      </c>
      <c r="R137" s="180">
        <v>136.01</v>
      </c>
      <c r="S137" s="180">
        <v>85.66</v>
      </c>
      <c r="T137" s="180">
        <f>T138+T141</f>
        <v>117.17166666666665</v>
      </c>
      <c r="U137" s="180">
        <f>U138+U141</f>
        <v>111.70500000000001</v>
      </c>
      <c r="V137" s="180">
        <v>7.34</v>
      </c>
      <c r="W137" s="180"/>
      <c r="X137" s="181">
        <f t="shared" ref="X137:X144" si="65">O137-N137</f>
        <v>-5.2799999999999727</v>
      </c>
      <c r="Y137" s="191">
        <f t="shared" ref="Y137:Y144" si="66">O137/N137</f>
        <v>0.9657187378262565</v>
      </c>
      <c r="Z137" s="180">
        <f t="shared" ref="Z137:AH137" si="67">Z138+Z141</f>
        <v>310.02999999999997</v>
      </c>
      <c r="AA137" s="180">
        <f t="shared" si="67"/>
        <v>325.09399999999999</v>
      </c>
      <c r="AB137" s="180">
        <f t="shared" si="67"/>
        <v>174.02</v>
      </c>
      <c r="AC137" s="180">
        <f t="shared" si="67"/>
        <v>0</v>
      </c>
      <c r="AD137" s="180">
        <f t="shared" si="67"/>
        <v>18.850000000000001</v>
      </c>
      <c r="AE137" s="180">
        <f t="shared" si="67"/>
        <v>0</v>
      </c>
      <c r="AF137" s="180">
        <f t="shared" si="67"/>
        <v>117.17</v>
      </c>
      <c r="AG137" s="180">
        <f t="shared" si="67"/>
        <v>0</v>
      </c>
      <c r="AH137" s="180">
        <f t="shared" si="67"/>
        <v>0</v>
      </c>
      <c r="AI137" s="180"/>
      <c r="AJ137" s="181">
        <f t="shared" ref="AJ137:AJ144" si="68">AC137-AB137</f>
        <v>-174.02</v>
      </c>
      <c r="AK137" s="192">
        <f t="shared" ref="AK137:AK144" si="69">AC137/AB137</f>
        <v>0</v>
      </c>
      <c r="AL137" s="180">
        <f t="shared" ref="AL137:AT137" si="70">AL138+AL141</f>
        <v>310.02999999999997</v>
      </c>
      <c r="AM137" s="180">
        <f t="shared" si="70"/>
        <v>325.09399999999999</v>
      </c>
      <c r="AN137" s="180">
        <f t="shared" si="70"/>
        <v>174.02</v>
      </c>
      <c r="AO137" s="180">
        <f t="shared" si="70"/>
        <v>0</v>
      </c>
      <c r="AP137" s="180">
        <f t="shared" si="70"/>
        <v>18.850000000000001</v>
      </c>
      <c r="AQ137" s="180">
        <f t="shared" si="70"/>
        <v>0</v>
      </c>
      <c r="AR137" s="180">
        <f t="shared" si="70"/>
        <v>117.17</v>
      </c>
      <c r="AS137" s="180">
        <f t="shared" si="70"/>
        <v>0</v>
      </c>
      <c r="AT137" s="180">
        <f t="shared" si="70"/>
        <v>0</v>
      </c>
      <c r="AU137" s="180"/>
      <c r="AV137" s="181">
        <f t="shared" ref="AV137:AV144" si="71">AO137-AN137</f>
        <v>-174.02</v>
      </c>
      <c r="AW137" s="192">
        <f t="shared" ref="AW137:AW144" si="72">AO137/AN137</f>
        <v>0</v>
      </c>
      <c r="AX137" s="179">
        <f>G137/2</f>
        <v>1328.105</v>
      </c>
      <c r="AY137" s="179">
        <f t="shared" ref="AY137:BG137" si="73">AY138+AY141</f>
        <v>2636.07</v>
      </c>
      <c r="AZ137" s="184">
        <f t="shared" si="73"/>
        <v>0</v>
      </c>
      <c r="BA137" s="185">
        <f t="shared" si="73"/>
        <v>1080.83</v>
      </c>
      <c r="BB137" s="185">
        <f t="shared" si="73"/>
        <v>0</v>
      </c>
      <c r="BC137" s="185">
        <f t="shared" si="73"/>
        <v>943.95999999999992</v>
      </c>
      <c r="BD137" s="185">
        <f t="shared" si="73"/>
        <v>0</v>
      </c>
      <c r="BE137" s="186">
        <f t="shared" si="73"/>
        <v>233.43</v>
      </c>
      <c r="BF137" s="184">
        <f t="shared" si="73"/>
        <v>174.54327000000001</v>
      </c>
      <c r="BG137" s="185">
        <f t="shared" si="73"/>
        <v>153.82760999999999</v>
      </c>
      <c r="BH137" s="185"/>
      <c r="BI137" s="186"/>
      <c r="BJ137" s="426">
        <f t="shared" si="62"/>
        <v>1080.83</v>
      </c>
      <c r="BK137" s="481" t="e">
        <f t="shared" si="63"/>
        <v>#DIV/0!</v>
      </c>
      <c r="BL137" s="468"/>
      <c r="BM137" s="469">
        <f>BM138+BM141</f>
        <v>324.36581000000001</v>
      </c>
      <c r="BN137" s="264"/>
      <c r="BO137" s="470"/>
      <c r="BP137" s="471"/>
      <c r="BQ137" s="469"/>
      <c r="BR137" s="472"/>
      <c r="BS137" s="473"/>
      <c r="BT137" s="471"/>
      <c r="BU137" s="469"/>
      <c r="BV137" s="472"/>
      <c r="BW137" s="473"/>
      <c r="BX137" s="474">
        <v>2674.02</v>
      </c>
      <c r="BY137" s="475">
        <f>F137</f>
        <v>2656.21</v>
      </c>
      <c r="BZ137" s="320">
        <f>M137+BM137+BQ137+BU137</f>
        <v>620.04762000000005</v>
      </c>
      <c r="CA137" s="469">
        <f>BZ137-BY137</f>
        <v>-2036.16238</v>
      </c>
      <c r="CB137" s="476">
        <f>BZ137/BY137</f>
        <v>0.23343320746477125</v>
      </c>
      <c r="CC137" s="307">
        <f>BZ137-E137</f>
        <v>-2036.16238</v>
      </c>
      <c r="CD137" s="477">
        <f>CD138+CD141</f>
        <v>431.36761999999999</v>
      </c>
      <c r="CE137" s="185">
        <f>CE138+CE141</f>
        <v>188.68</v>
      </c>
      <c r="CF137" s="478"/>
      <c r="CG137" s="465"/>
      <c r="CH137" s="465"/>
      <c r="CI137" s="465"/>
      <c r="CJ137" s="465"/>
      <c r="CK137" s="465"/>
      <c r="CL137" s="465"/>
      <c r="CM137" s="466"/>
      <c r="CN137" s="466"/>
      <c r="CO137" s="466"/>
      <c r="CP137" s="466"/>
      <c r="CQ137" s="466"/>
      <c r="CR137" s="466"/>
      <c r="CS137" s="466"/>
      <c r="CT137" s="466"/>
      <c r="CU137" s="466"/>
      <c r="CV137" s="466"/>
      <c r="CW137" s="466"/>
      <c r="CX137" s="466"/>
      <c r="CY137" s="466"/>
      <c r="CZ137" s="466"/>
      <c r="DA137" s="179">
        <f>DA138+DA141</f>
        <v>2656.2119699999998</v>
      </c>
      <c r="DB137" s="179">
        <f>DB138+DB141</f>
        <v>2656.2119699999998</v>
      </c>
      <c r="DC137" s="179">
        <f>SUM(DC138,DC141)</f>
        <v>3240.9519</v>
      </c>
      <c r="DD137" s="179">
        <f>SUM(DD138,DD141)</f>
        <v>3172.17</v>
      </c>
      <c r="DE137" s="179">
        <f>SUM(DE138,DE141)</f>
        <v>3252.61375</v>
      </c>
      <c r="DF137" s="179">
        <f>SUM(DF138,DF141)</f>
        <v>1501.494375</v>
      </c>
      <c r="DG137" s="179">
        <f>SUM(DG138,DG141)</f>
        <v>1501.494375</v>
      </c>
      <c r="DI137" s="826"/>
      <c r="DJ137" s="788"/>
    </row>
    <row r="138" spans="1:114" s="783" customFormat="1">
      <c r="A138" s="177"/>
      <c r="B138" s="187" t="s">
        <v>3</v>
      </c>
      <c r="C138" s="837" t="s">
        <v>54</v>
      </c>
      <c r="D138" s="31">
        <v>1988.16</v>
      </c>
      <c r="E138" s="31">
        <v>2207.9899999999998</v>
      </c>
      <c r="F138" s="31">
        <v>2207.9899999999998</v>
      </c>
      <c r="G138" s="31">
        <v>2207.9899999999998</v>
      </c>
      <c r="H138" s="134">
        <v>1736.59</v>
      </c>
      <c r="I138" s="134">
        <v>1356.8</v>
      </c>
      <c r="J138" s="134">
        <v>188.01</v>
      </c>
      <c r="K138" s="134">
        <v>1168.79</v>
      </c>
      <c r="L138" s="134">
        <f>G138/12</f>
        <v>183.99916666666664</v>
      </c>
      <c r="M138" s="134">
        <v>245.86006</v>
      </c>
      <c r="N138" s="134">
        <v>128.07</v>
      </c>
      <c r="O138" s="134">
        <f>M138*62/100</f>
        <v>152.43323720000001</v>
      </c>
      <c r="P138" s="134">
        <v>16.649999999999999</v>
      </c>
      <c r="Q138" s="134">
        <v>16.100000000000001</v>
      </c>
      <c r="R138" s="134">
        <v>113.07</v>
      </c>
      <c r="S138" s="134">
        <v>71.22</v>
      </c>
      <c r="T138" s="134">
        <f>K138/12</f>
        <v>97.399166666666659</v>
      </c>
      <c r="U138" s="134">
        <v>92.885000000000005</v>
      </c>
      <c r="V138" s="134">
        <v>6.11</v>
      </c>
      <c r="W138" s="134"/>
      <c r="X138" s="51">
        <f t="shared" si="65"/>
        <v>24.363237200000015</v>
      </c>
      <c r="Y138" s="55">
        <f t="shared" si="66"/>
        <v>1.1902337565393926</v>
      </c>
      <c r="Z138" s="134">
        <v>257.77999999999997</v>
      </c>
      <c r="AA138" s="134">
        <v>270.43</v>
      </c>
      <c r="AB138" s="134">
        <v>144.72</v>
      </c>
      <c r="AC138" s="134"/>
      <c r="AD138" s="134">
        <v>15.67</v>
      </c>
      <c r="AE138" s="134"/>
      <c r="AF138" s="134">
        <v>97.4</v>
      </c>
      <c r="AG138" s="134"/>
      <c r="AH138" s="134"/>
      <c r="AI138" s="134"/>
      <c r="AJ138" s="51">
        <f t="shared" si="68"/>
        <v>-144.72</v>
      </c>
      <c r="AK138" s="56">
        <f t="shared" si="69"/>
        <v>0</v>
      </c>
      <c r="AL138" s="134">
        <v>257.77999999999997</v>
      </c>
      <c r="AM138" s="134">
        <v>270.43</v>
      </c>
      <c r="AN138" s="134">
        <v>144.72</v>
      </c>
      <c r="AO138" s="134"/>
      <c r="AP138" s="134">
        <v>15.67</v>
      </c>
      <c r="AQ138" s="134"/>
      <c r="AR138" s="134">
        <v>97.4</v>
      </c>
      <c r="AS138" s="134"/>
      <c r="AT138" s="134"/>
      <c r="AU138" s="134"/>
      <c r="AV138" s="51">
        <f t="shared" si="71"/>
        <v>-144.72</v>
      </c>
      <c r="AW138" s="56">
        <f t="shared" si="72"/>
        <v>0</v>
      </c>
      <c r="AX138" s="31">
        <f>G138/2</f>
        <v>1103.9949999999999</v>
      </c>
      <c r="AY138" s="31">
        <v>2191.25</v>
      </c>
      <c r="AZ138" s="109"/>
      <c r="BA138" s="62">
        <v>898.89</v>
      </c>
      <c r="BB138" s="62"/>
      <c r="BC138" s="62">
        <v>784.67</v>
      </c>
      <c r="BD138" s="62"/>
      <c r="BE138" s="110">
        <v>194.04</v>
      </c>
      <c r="BF138" s="109">
        <v>145.09</v>
      </c>
      <c r="BG138" s="62">
        <v>127.87</v>
      </c>
      <c r="BH138" s="62"/>
      <c r="BI138" s="110"/>
      <c r="BJ138" s="426">
        <f t="shared" si="62"/>
        <v>898.89</v>
      </c>
      <c r="BK138" s="46" t="e">
        <f t="shared" si="63"/>
        <v>#DIV/0!</v>
      </c>
      <c r="BL138" s="428"/>
      <c r="BM138" s="61">
        <v>270.4255</v>
      </c>
      <c r="BN138" s="62"/>
      <c r="BO138" s="470"/>
      <c r="BP138" s="64"/>
      <c r="BQ138" s="61"/>
      <c r="BR138" s="65"/>
      <c r="BS138" s="66"/>
      <c r="BT138" s="64"/>
      <c r="BU138" s="61"/>
      <c r="BV138" s="479"/>
      <c r="BW138" s="66"/>
      <c r="BX138" s="431"/>
      <c r="BY138" s="68">
        <f>F138</f>
        <v>2207.9899999999998</v>
      </c>
      <c r="BZ138" s="69">
        <f>M138+BM138+BQ138+BU138</f>
        <v>516.28556000000003</v>
      </c>
      <c r="CA138" s="61">
        <f>BZ138-BY138</f>
        <v>-1691.7044399999997</v>
      </c>
      <c r="CB138" s="71">
        <f>BZ138/BY138</f>
        <v>0.23382604087880837</v>
      </c>
      <c r="CC138" s="72">
        <f>BZ138-E138</f>
        <v>-1691.7044399999997</v>
      </c>
      <c r="CD138" s="434">
        <f>BZ138-CE138</f>
        <v>359.44556</v>
      </c>
      <c r="CE138" s="62">
        <v>156.84</v>
      </c>
      <c r="CF138" s="73"/>
      <c r="CG138" s="74"/>
      <c r="CH138" s="74"/>
      <c r="CI138" s="74"/>
      <c r="CJ138" s="74"/>
      <c r="CK138" s="74"/>
      <c r="CL138" s="74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31">
        <v>2207.9899999999998</v>
      </c>
      <c r="DB138" s="31">
        <v>2207.9899999999998</v>
      </c>
      <c r="DC138" s="31">
        <v>2487.3000000000002</v>
      </c>
      <c r="DD138" s="31">
        <v>2521.84</v>
      </c>
      <c r="DE138" s="31">
        <v>2496.25</v>
      </c>
      <c r="DF138" s="31">
        <f>DE138/2</f>
        <v>1248.125</v>
      </c>
      <c r="DG138" s="134">
        <f>DF138</f>
        <v>1248.125</v>
      </c>
      <c r="DI138" s="826"/>
      <c r="DJ138" s="788"/>
    </row>
    <row r="139" spans="1:114" s="783" customFormat="1">
      <c r="A139" s="177"/>
      <c r="B139" s="212" t="s">
        <v>38</v>
      </c>
      <c r="C139" s="839" t="s">
        <v>82</v>
      </c>
      <c r="D139" s="214">
        <v>11</v>
      </c>
      <c r="E139" s="214">
        <v>11</v>
      </c>
      <c r="F139" s="214">
        <v>11</v>
      </c>
      <c r="G139" s="214">
        <v>11</v>
      </c>
      <c r="H139" s="215">
        <v>8</v>
      </c>
      <c r="I139" s="215">
        <v>7</v>
      </c>
      <c r="J139" s="215">
        <v>2</v>
      </c>
      <c r="K139" s="215">
        <v>5</v>
      </c>
      <c r="L139" s="215">
        <v>15</v>
      </c>
      <c r="M139" s="134">
        <v>15</v>
      </c>
      <c r="N139" s="134">
        <v>8</v>
      </c>
      <c r="O139" s="134">
        <v>7.5</v>
      </c>
      <c r="P139" s="134"/>
      <c r="Q139" s="134"/>
      <c r="R139" s="134">
        <v>2</v>
      </c>
      <c r="S139" s="134">
        <v>1</v>
      </c>
      <c r="T139" s="134">
        <v>5</v>
      </c>
      <c r="U139" s="134">
        <v>5</v>
      </c>
      <c r="V139" s="134"/>
      <c r="W139" s="134"/>
      <c r="X139" s="51">
        <f t="shared" si="65"/>
        <v>-0.5</v>
      </c>
      <c r="Y139" s="55">
        <f t="shared" si="66"/>
        <v>0.9375</v>
      </c>
      <c r="Z139" s="215">
        <v>15</v>
      </c>
      <c r="AA139" s="134">
        <v>14.5</v>
      </c>
      <c r="AB139" s="134">
        <v>8</v>
      </c>
      <c r="AC139" s="134"/>
      <c r="AD139" s="134">
        <v>2</v>
      </c>
      <c r="AE139" s="134"/>
      <c r="AF139" s="134">
        <v>5</v>
      </c>
      <c r="AG139" s="134"/>
      <c r="AH139" s="134"/>
      <c r="AI139" s="134"/>
      <c r="AJ139" s="51">
        <f t="shared" si="68"/>
        <v>-8</v>
      </c>
      <c r="AK139" s="56">
        <f t="shared" si="69"/>
        <v>0</v>
      </c>
      <c r="AL139" s="215">
        <v>15</v>
      </c>
      <c r="AM139" s="134">
        <v>14.5</v>
      </c>
      <c r="AN139" s="134">
        <v>8</v>
      </c>
      <c r="AO139" s="134"/>
      <c r="AP139" s="134">
        <v>2</v>
      </c>
      <c r="AQ139" s="134"/>
      <c r="AR139" s="134">
        <v>5</v>
      </c>
      <c r="AS139" s="134"/>
      <c r="AT139" s="134"/>
      <c r="AU139" s="134"/>
      <c r="AV139" s="51">
        <f t="shared" si="71"/>
        <v>-8</v>
      </c>
      <c r="AW139" s="56">
        <f t="shared" si="72"/>
        <v>0</v>
      </c>
      <c r="AX139" s="31">
        <v>15</v>
      </c>
      <c r="AY139" s="31">
        <v>10</v>
      </c>
      <c r="AZ139" s="109"/>
      <c r="BA139" s="62"/>
      <c r="BB139" s="62"/>
      <c r="BC139" s="62"/>
      <c r="BD139" s="62"/>
      <c r="BE139" s="110"/>
      <c r="BF139" s="109"/>
      <c r="BG139" s="62"/>
      <c r="BH139" s="62"/>
      <c r="BI139" s="110"/>
      <c r="BJ139" s="426">
        <f t="shared" si="62"/>
        <v>0</v>
      </c>
      <c r="BK139" s="46" t="e">
        <f t="shared" si="63"/>
        <v>#DIV/0!</v>
      </c>
      <c r="BL139" s="520"/>
      <c r="BM139" s="61">
        <v>14.5</v>
      </c>
      <c r="BN139" s="62"/>
      <c r="BO139" s="470"/>
      <c r="BP139" s="64"/>
      <c r="BQ139" s="61"/>
      <c r="BR139" s="521"/>
      <c r="BS139" s="66"/>
      <c r="BT139" s="64"/>
      <c r="BU139" s="61"/>
      <c r="BV139" s="479"/>
      <c r="BW139" s="66"/>
      <c r="BX139" s="522">
        <v>16</v>
      </c>
      <c r="BY139" s="68">
        <f>F139</f>
        <v>11</v>
      </c>
      <c r="BZ139" s="69">
        <f>(M139+BM139+BQ139+BU139)/4</f>
        <v>7.375</v>
      </c>
      <c r="CA139" s="61">
        <f>BZ139-BY139</f>
        <v>-3.625</v>
      </c>
      <c r="CB139" s="71">
        <f>BZ139/BY139</f>
        <v>0.67045454545454541</v>
      </c>
      <c r="CC139" s="72">
        <f>BZ139-E139</f>
        <v>-3.625</v>
      </c>
      <c r="CD139" s="523">
        <v>10</v>
      </c>
      <c r="CE139" s="524">
        <v>1.5</v>
      </c>
      <c r="CF139" s="73"/>
      <c r="CG139" s="525"/>
      <c r="CH139" s="525"/>
      <c r="CI139" s="525"/>
      <c r="CJ139" s="525"/>
      <c r="CK139" s="525"/>
      <c r="CL139" s="525"/>
      <c r="CM139" s="526"/>
      <c r="CN139" s="526"/>
      <c r="CO139" s="526"/>
      <c r="CP139" s="526"/>
      <c r="CQ139" s="526"/>
      <c r="CR139" s="526"/>
      <c r="CS139" s="526"/>
      <c r="CT139" s="526"/>
      <c r="CU139" s="526"/>
      <c r="CV139" s="526"/>
      <c r="CW139" s="526"/>
      <c r="CX139" s="526"/>
      <c r="CY139" s="526"/>
      <c r="CZ139" s="526"/>
      <c r="DA139" s="31">
        <v>11</v>
      </c>
      <c r="DB139" s="31">
        <v>11</v>
      </c>
      <c r="DC139" s="214">
        <v>10</v>
      </c>
      <c r="DD139" s="214">
        <v>10</v>
      </c>
      <c r="DE139" s="214">
        <v>10</v>
      </c>
      <c r="DF139" s="214">
        <v>11</v>
      </c>
      <c r="DG139" s="215">
        <v>11</v>
      </c>
      <c r="DI139" s="826"/>
      <c r="DJ139" s="788"/>
    </row>
    <row r="140" spans="1:114" s="783" customFormat="1">
      <c r="A140" s="177"/>
      <c r="B140" s="190" t="s">
        <v>39</v>
      </c>
      <c r="C140" s="839" t="s">
        <v>83</v>
      </c>
      <c r="D140" s="31">
        <f t="shared" ref="D140:K140" si="74">D138/D139/12*1000</f>
        <v>15061.818181818182</v>
      </c>
      <c r="E140" s="31">
        <f t="shared" si="74"/>
        <v>16727.196969696968</v>
      </c>
      <c r="F140" s="31">
        <f t="shared" si="74"/>
        <v>16727.196969696968</v>
      </c>
      <c r="G140" s="31">
        <f t="shared" si="74"/>
        <v>16727.196969696968</v>
      </c>
      <c r="H140" s="134">
        <f t="shared" si="74"/>
        <v>18089.479166666668</v>
      </c>
      <c r="I140" s="134">
        <f t="shared" si="74"/>
        <v>16152.380952380952</v>
      </c>
      <c r="J140" s="134">
        <f t="shared" si="74"/>
        <v>7833.7499999999991</v>
      </c>
      <c r="K140" s="134">
        <f t="shared" si="74"/>
        <v>19479.833333333332</v>
      </c>
      <c r="L140" s="134">
        <f t="shared" ref="L140:U140" si="75">L138/L139*1000</f>
        <v>12266.611111111109</v>
      </c>
      <c r="M140" s="134">
        <f t="shared" si="75"/>
        <v>16390.670666666669</v>
      </c>
      <c r="N140" s="134">
        <f t="shared" si="75"/>
        <v>16008.75</v>
      </c>
      <c r="O140" s="134">
        <f t="shared" si="75"/>
        <v>20324.431626666668</v>
      </c>
      <c r="P140" s="134"/>
      <c r="Q140" s="134"/>
      <c r="R140" s="134">
        <f t="shared" si="75"/>
        <v>56535</v>
      </c>
      <c r="S140" s="134">
        <f t="shared" si="75"/>
        <v>71220</v>
      </c>
      <c r="T140" s="134">
        <f t="shared" si="75"/>
        <v>19479.833333333332</v>
      </c>
      <c r="U140" s="134">
        <f t="shared" si="75"/>
        <v>18577</v>
      </c>
      <c r="V140" s="134"/>
      <c r="W140" s="134"/>
      <c r="X140" s="51">
        <f t="shared" si="65"/>
        <v>4315.6816266666683</v>
      </c>
      <c r="Y140" s="55">
        <f t="shared" si="66"/>
        <v>1.2695826736420188</v>
      </c>
      <c r="Z140" s="134">
        <f t="shared" ref="Z140:AG140" si="76">Z138/Z139*1000</f>
        <v>17185.333333333332</v>
      </c>
      <c r="AA140" s="134">
        <f t="shared" si="76"/>
        <v>18650.344827586207</v>
      </c>
      <c r="AB140" s="134">
        <f t="shared" si="76"/>
        <v>18090</v>
      </c>
      <c r="AC140" s="134" t="e">
        <f t="shared" si="76"/>
        <v>#DIV/0!</v>
      </c>
      <c r="AD140" s="134">
        <f t="shared" si="76"/>
        <v>7835</v>
      </c>
      <c r="AE140" s="134" t="e">
        <f t="shared" si="76"/>
        <v>#DIV/0!</v>
      </c>
      <c r="AF140" s="134">
        <f t="shared" si="76"/>
        <v>19480</v>
      </c>
      <c r="AG140" s="134" t="e">
        <f t="shared" si="76"/>
        <v>#DIV/0!</v>
      </c>
      <c r="AH140" s="134"/>
      <c r="AI140" s="134"/>
      <c r="AJ140" s="51" t="e">
        <f t="shared" si="68"/>
        <v>#DIV/0!</v>
      </c>
      <c r="AK140" s="56" t="e">
        <f t="shared" si="69"/>
        <v>#DIV/0!</v>
      </c>
      <c r="AL140" s="134">
        <f t="shared" ref="AL140:AS140" si="77">AL138/AL139*1000</f>
        <v>17185.333333333332</v>
      </c>
      <c r="AM140" s="134">
        <f t="shared" si="77"/>
        <v>18650.344827586207</v>
      </c>
      <c r="AN140" s="134">
        <f t="shared" si="77"/>
        <v>18090</v>
      </c>
      <c r="AO140" s="134" t="e">
        <f t="shared" si="77"/>
        <v>#DIV/0!</v>
      </c>
      <c r="AP140" s="134">
        <f t="shared" si="77"/>
        <v>7835</v>
      </c>
      <c r="AQ140" s="134" t="e">
        <f t="shared" si="77"/>
        <v>#DIV/0!</v>
      </c>
      <c r="AR140" s="134">
        <f t="shared" si="77"/>
        <v>19480</v>
      </c>
      <c r="AS140" s="134" t="e">
        <f t="shared" si="77"/>
        <v>#DIV/0!</v>
      </c>
      <c r="AT140" s="134"/>
      <c r="AU140" s="134"/>
      <c r="AV140" s="51" t="e">
        <f t="shared" si="71"/>
        <v>#DIV/0!</v>
      </c>
      <c r="AW140" s="56" t="e">
        <f t="shared" si="72"/>
        <v>#DIV/0!</v>
      </c>
      <c r="AX140" s="31">
        <f>AX138/AX139/6*1000</f>
        <v>12266.611111111111</v>
      </c>
      <c r="AY140" s="31">
        <f>AY138/AY139/12*1000</f>
        <v>18260.416666666668</v>
      </c>
      <c r="AZ140" s="109" t="e">
        <f>AZ138/AZ139/3*1000</f>
        <v>#DIV/0!</v>
      </c>
      <c r="BA140" s="62"/>
      <c r="BB140" s="62"/>
      <c r="BC140" s="62"/>
      <c r="BD140" s="62"/>
      <c r="BE140" s="110"/>
      <c r="BF140" s="109"/>
      <c r="BG140" s="62"/>
      <c r="BH140" s="62"/>
      <c r="BI140" s="110"/>
      <c r="BJ140" s="426" t="e">
        <f t="shared" si="62"/>
        <v>#DIV/0!</v>
      </c>
      <c r="BK140" s="46" t="e">
        <f t="shared" si="63"/>
        <v>#DIV/0!</v>
      </c>
      <c r="BL140" s="520"/>
      <c r="BM140" s="61">
        <f>BM138/BM139*1000</f>
        <v>18650.03448275862</v>
      </c>
      <c r="BN140" s="62"/>
      <c r="BO140" s="470"/>
      <c r="BP140" s="64"/>
      <c r="BQ140" s="61"/>
      <c r="BR140" s="521"/>
      <c r="BS140" s="66"/>
      <c r="BT140" s="64"/>
      <c r="BU140" s="61"/>
      <c r="BV140" s="479"/>
      <c r="BW140" s="66"/>
      <c r="BX140" s="522"/>
      <c r="BY140" s="68"/>
      <c r="BZ140" s="69"/>
      <c r="CA140" s="61"/>
      <c r="CB140" s="71"/>
      <c r="CC140" s="72"/>
      <c r="CD140" s="523"/>
      <c r="CE140" s="524"/>
      <c r="CF140" s="73"/>
      <c r="CG140" s="525"/>
      <c r="CH140" s="525"/>
      <c r="CI140" s="525"/>
      <c r="CJ140" s="525"/>
      <c r="CK140" s="525"/>
      <c r="CL140" s="525"/>
      <c r="CM140" s="526"/>
      <c r="CN140" s="526"/>
      <c r="CO140" s="526"/>
      <c r="CP140" s="526"/>
      <c r="CQ140" s="526"/>
      <c r="CR140" s="526"/>
      <c r="CS140" s="526"/>
      <c r="CT140" s="526"/>
      <c r="CU140" s="526"/>
      <c r="CV140" s="526"/>
      <c r="CW140" s="526"/>
      <c r="CX140" s="526"/>
      <c r="CY140" s="526"/>
      <c r="CZ140" s="526"/>
      <c r="DA140" s="31">
        <f>DA138/DA139/12*1000</f>
        <v>16727.196969696968</v>
      </c>
      <c r="DB140" s="31">
        <f>DB138/DB139/12*1000</f>
        <v>16727.196969696968</v>
      </c>
      <c r="DC140" s="31">
        <f>DC138/DC139/12*1000</f>
        <v>20727.500000000004</v>
      </c>
      <c r="DD140" s="31">
        <f>DD138/DD139/12*1000</f>
        <v>21015.333333333336</v>
      </c>
      <c r="DE140" s="31">
        <f>DE138/DE139/12*1000</f>
        <v>20802.083333333332</v>
      </c>
      <c r="DF140" s="31">
        <f>DF138/DF139/6*1000</f>
        <v>18910.984848484848</v>
      </c>
      <c r="DG140" s="31">
        <f>DG138/DG139/6*1000</f>
        <v>18910.984848484848</v>
      </c>
      <c r="DI140" s="826"/>
      <c r="DJ140" s="788"/>
    </row>
    <row r="141" spans="1:114" s="783" customFormat="1" ht="12" customHeight="1">
      <c r="A141" s="177"/>
      <c r="B141" s="187" t="s">
        <v>347</v>
      </c>
      <c r="C141" s="837" t="s">
        <v>54</v>
      </c>
      <c r="D141" s="31">
        <v>403.6</v>
      </c>
      <c r="E141" s="31">
        <v>448.22</v>
      </c>
      <c r="F141" s="31">
        <v>448.22</v>
      </c>
      <c r="G141" s="31">
        <v>448.22</v>
      </c>
      <c r="H141" s="134">
        <v>351.59</v>
      </c>
      <c r="I141" s="134">
        <v>275.43</v>
      </c>
      <c r="J141" s="134">
        <v>38.159999999999997</v>
      </c>
      <c r="K141" s="134">
        <v>237.27</v>
      </c>
      <c r="L141" s="134">
        <f>G141/12</f>
        <v>37.351666666666667</v>
      </c>
      <c r="M141" s="134">
        <v>49.821750000000002</v>
      </c>
      <c r="N141" s="134">
        <v>25.95</v>
      </c>
      <c r="O141" s="134">
        <v>30.89</v>
      </c>
      <c r="P141" s="134">
        <v>3.35</v>
      </c>
      <c r="Q141" s="134">
        <v>3.26</v>
      </c>
      <c r="R141" s="134">
        <v>22.95</v>
      </c>
      <c r="S141" s="134">
        <v>14.43</v>
      </c>
      <c r="T141" s="134">
        <f>K141/12</f>
        <v>19.772500000000001</v>
      </c>
      <c r="U141" s="134">
        <v>18.82</v>
      </c>
      <c r="V141" s="134">
        <v>1.24</v>
      </c>
      <c r="W141" s="134"/>
      <c r="X141" s="51">
        <f t="shared" si="65"/>
        <v>4.9400000000000013</v>
      </c>
      <c r="Y141" s="55">
        <f t="shared" si="66"/>
        <v>1.1903660886319847</v>
      </c>
      <c r="Z141" s="134">
        <v>52.25</v>
      </c>
      <c r="AA141" s="134">
        <v>54.664000000000001</v>
      </c>
      <c r="AB141" s="134">
        <v>29.3</v>
      </c>
      <c r="AC141" s="134"/>
      <c r="AD141" s="134">
        <v>3.18</v>
      </c>
      <c r="AE141" s="134"/>
      <c r="AF141" s="134">
        <v>19.77</v>
      </c>
      <c r="AG141" s="134"/>
      <c r="AH141" s="134"/>
      <c r="AI141" s="134"/>
      <c r="AJ141" s="51">
        <f t="shared" si="68"/>
        <v>-29.3</v>
      </c>
      <c r="AK141" s="56">
        <f t="shared" si="69"/>
        <v>0</v>
      </c>
      <c r="AL141" s="134">
        <v>52.25</v>
      </c>
      <c r="AM141" s="134">
        <v>54.664000000000001</v>
      </c>
      <c r="AN141" s="134">
        <v>29.3</v>
      </c>
      <c r="AO141" s="134"/>
      <c r="AP141" s="134">
        <v>3.18</v>
      </c>
      <c r="AQ141" s="134"/>
      <c r="AR141" s="134">
        <v>19.77</v>
      </c>
      <c r="AS141" s="134"/>
      <c r="AT141" s="134"/>
      <c r="AU141" s="134"/>
      <c r="AV141" s="51">
        <f t="shared" si="71"/>
        <v>-29.3</v>
      </c>
      <c r="AW141" s="56">
        <f t="shared" si="72"/>
        <v>0</v>
      </c>
      <c r="AX141" s="31">
        <f>G141/2</f>
        <v>224.11</v>
      </c>
      <c r="AY141" s="31">
        <v>444.82</v>
      </c>
      <c r="AZ141" s="109"/>
      <c r="BA141" s="62">
        <v>181.94</v>
      </c>
      <c r="BB141" s="62">
        <f t="shared" ref="BB141:BG141" si="78">BB138*20.3/100</f>
        <v>0</v>
      </c>
      <c r="BC141" s="62">
        <v>159.29</v>
      </c>
      <c r="BD141" s="62">
        <f t="shared" si="78"/>
        <v>0</v>
      </c>
      <c r="BE141" s="110">
        <v>39.39</v>
      </c>
      <c r="BF141" s="109">
        <f t="shared" si="78"/>
        <v>29.453270000000003</v>
      </c>
      <c r="BG141" s="62">
        <f t="shared" si="78"/>
        <v>25.957609999999999</v>
      </c>
      <c r="BH141" s="62"/>
      <c r="BI141" s="110"/>
      <c r="BJ141" s="426">
        <f t="shared" si="62"/>
        <v>181.94</v>
      </c>
      <c r="BK141" s="46" t="e">
        <f t="shared" si="63"/>
        <v>#DIV/0!</v>
      </c>
      <c r="BL141" s="428"/>
      <c r="BM141" s="61">
        <v>53.940309999999997</v>
      </c>
      <c r="BN141" s="62"/>
      <c r="BO141" s="470"/>
      <c r="BP141" s="64"/>
      <c r="BQ141" s="61"/>
      <c r="BR141" s="65"/>
      <c r="BS141" s="66"/>
      <c r="BT141" s="64"/>
      <c r="BU141" s="61"/>
      <c r="BV141" s="479"/>
      <c r="BW141" s="66"/>
      <c r="BX141" s="431"/>
      <c r="BY141" s="68">
        <f>F141</f>
        <v>448.22</v>
      </c>
      <c r="BZ141" s="69">
        <f t="shared" ref="BZ141:BZ146" si="79">M141+BM141+BQ141+BU141</f>
        <v>103.76205999999999</v>
      </c>
      <c r="CA141" s="61">
        <f>BZ141-BY141</f>
        <v>-344.45794000000001</v>
      </c>
      <c r="CB141" s="71">
        <f>BZ141/BY141</f>
        <v>0.23149805898888934</v>
      </c>
      <c r="CC141" s="72">
        <f t="shared" ref="CC141:CC146" si="80">BZ141-E141</f>
        <v>-344.45794000000001</v>
      </c>
      <c r="CD141" s="434">
        <f>BZ141-CE141</f>
        <v>71.922059999999988</v>
      </c>
      <c r="CE141" s="62">
        <v>31.84</v>
      </c>
      <c r="CF141" s="73"/>
      <c r="CG141" s="74"/>
      <c r="CH141" s="74"/>
      <c r="CI141" s="74"/>
      <c r="CJ141" s="74"/>
      <c r="CK141" s="74"/>
      <c r="CL141" s="74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31">
        <f>DA138*20.3/100</f>
        <v>448.22197</v>
      </c>
      <c r="DB141" s="31">
        <f>DB138*20.3/100</f>
        <v>448.22197</v>
      </c>
      <c r="DC141" s="31">
        <f>DC138*30.3/100</f>
        <v>753.65190000000007</v>
      </c>
      <c r="DD141" s="31">
        <v>650.33000000000004</v>
      </c>
      <c r="DE141" s="31">
        <f>DE138*30.3/100</f>
        <v>756.36374999999998</v>
      </c>
      <c r="DF141" s="31">
        <f>DF138*20.3/100</f>
        <v>253.36937499999999</v>
      </c>
      <c r="DG141" s="31">
        <f>DG138*20.3/100</f>
        <v>253.36937499999999</v>
      </c>
      <c r="DI141" s="826"/>
      <c r="DJ141" s="788"/>
    </row>
    <row r="142" spans="1:114" s="783" customFormat="1" hidden="1">
      <c r="A142" s="177" t="s">
        <v>140</v>
      </c>
      <c r="B142" s="178" t="s">
        <v>2</v>
      </c>
      <c r="C142" s="837" t="s">
        <v>54</v>
      </c>
      <c r="D142" s="179"/>
      <c r="E142" s="179"/>
      <c r="F142" s="179"/>
      <c r="G142" s="179"/>
      <c r="H142" s="180">
        <f t="shared" ref="H142:N142" si="81">H143+H146</f>
        <v>1736.59</v>
      </c>
      <c r="I142" s="180">
        <f t="shared" si="81"/>
        <v>1356.8</v>
      </c>
      <c r="J142" s="180">
        <f t="shared" si="81"/>
        <v>188.01</v>
      </c>
      <c r="K142" s="180">
        <f t="shared" si="81"/>
        <v>1168.79</v>
      </c>
      <c r="L142" s="180">
        <f t="shared" si="81"/>
        <v>0</v>
      </c>
      <c r="M142" s="180">
        <f t="shared" si="81"/>
        <v>255.52006</v>
      </c>
      <c r="N142" s="180">
        <f t="shared" si="81"/>
        <v>128.07</v>
      </c>
      <c r="O142" s="180">
        <v>148.74</v>
      </c>
      <c r="P142" s="180">
        <f>P143+P146</f>
        <v>16.649999999999999</v>
      </c>
      <c r="Q142" s="180">
        <v>19.36</v>
      </c>
      <c r="R142" s="180">
        <v>136.01</v>
      </c>
      <c r="S142" s="180">
        <v>85.66</v>
      </c>
      <c r="T142" s="180">
        <f>T143+T146</f>
        <v>97.399166666666659</v>
      </c>
      <c r="U142" s="180">
        <f>U143+U146</f>
        <v>92.885000000000005</v>
      </c>
      <c r="V142" s="180">
        <v>7.34</v>
      </c>
      <c r="W142" s="180"/>
      <c r="X142" s="181">
        <f t="shared" si="65"/>
        <v>20.670000000000016</v>
      </c>
      <c r="Y142" s="191">
        <f t="shared" si="66"/>
        <v>1.1613961115015228</v>
      </c>
      <c r="Z142" s="180">
        <f t="shared" ref="Z142:AH142" si="82">Z143+Z146</f>
        <v>257.77999999999997</v>
      </c>
      <c r="AA142" s="180">
        <f t="shared" si="82"/>
        <v>274.3</v>
      </c>
      <c r="AB142" s="180">
        <f t="shared" si="82"/>
        <v>144.72</v>
      </c>
      <c r="AC142" s="180">
        <f t="shared" si="82"/>
        <v>0</v>
      </c>
      <c r="AD142" s="180">
        <f t="shared" si="82"/>
        <v>15.67</v>
      </c>
      <c r="AE142" s="180">
        <f t="shared" si="82"/>
        <v>0</v>
      </c>
      <c r="AF142" s="180">
        <f t="shared" si="82"/>
        <v>97.4</v>
      </c>
      <c r="AG142" s="180">
        <f t="shared" si="82"/>
        <v>0</v>
      </c>
      <c r="AH142" s="180">
        <f t="shared" si="82"/>
        <v>0</v>
      </c>
      <c r="AI142" s="180"/>
      <c r="AJ142" s="181">
        <f t="shared" si="68"/>
        <v>-144.72</v>
      </c>
      <c r="AK142" s="192">
        <f t="shared" si="69"/>
        <v>0</v>
      </c>
      <c r="AL142" s="180">
        <f t="shared" ref="AL142:AT142" si="83">AL143+AL146</f>
        <v>257.77999999999997</v>
      </c>
      <c r="AM142" s="180">
        <f t="shared" si="83"/>
        <v>274.3</v>
      </c>
      <c r="AN142" s="180">
        <f t="shared" si="83"/>
        <v>144.72</v>
      </c>
      <c r="AO142" s="180">
        <f t="shared" si="83"/>
        <v>0</v>
      </c>
      <c r="AP142" s="180">
        <f t="shared" si="83"/>
        <v>15.67</v>
      </c>
      <c r="AQ142" s="180">
        <f t="shared" si="83"/>
        <v>0</v>
      </c>
      <c r="AR142" s="180">
        <f t="shared" si="83"/>
        <v>97.4</v>
      </c>
      <c r="AS142" s="180">
        <f t="shared" si="83"/>
        <v>0</v>
      </c>
      <c r="AT142" s="180">
        <f t="shared" si="83"/>
        <v>0</v>
      </c>
      <c r="AU142" s="180"/>
      <c r="AV142" s="181">
        <f t="shared" si="71"/>
        <v>-144.72</v>
      </c>
      <c r="AW142" s="192">
        <f t="shared" si="72"/>
        <v>0</v>
      </c>
      <c r="AX142" s="179">
        <f>G142/2</f>
        <v>0</v>
      </c>
      <c r="AY142" s="179">
        <f>SUM(AY143:AY144)</f>
        <v>0</v>
      </c>
      <c r="AZ142" s="184">
        <f>AZ143+AZ146</f>
        <v>0</v>
      </c>
      <c r="BA142" s="185">
        <f>SUM(BA143:BA144)</f>
        <v>0</v>
      </c>
      <c r="BB142" s="185">
        <f t="shared" ref="BB142:BG142" si="84">SUM(BB143:BB144)</f>
        <v>0</v>
      </c>
      <c r="BC142" s="185">
        <f>SUM(BC143:BC144)</f>
        <v>0</v>
      </c>
      <c r="BD142" s="185">
        <f t="shared" si="84"/>
        <v>0</v>
      </c>
      <c r="BE142" s="186">
        <f>SUM(BE143:BE144)</f>
        <v>0</v>
      </c>
      <c r="BF142" s="184">
        <f t="shared" si="84"/>
        <v>0</v>
      </c>
      <c r="BG142" s="185">
        <f t="shared" si="84"/>
        <v>0</v>
      </c>
      <c r="BH142" s="185"/>
      <c r="BI142" s="186"/>
      <c r="BJ142" s="426">
        <f>BA142-AZ142</f>
        <v>0</v>
      </c>
      <c r="BK142" s="46" t="e">
        <f>BA142/AZ142</f>
        <v>#DIV/0!</v>
      </c>
      <c r="BL142" s="468"/>
      <c r="BM142" s="469">
        <f>BM143+BM146</f>
        <v>274.29950000000002</v>
      </c>
      <c r="BN142" s="264"/>
      <c r="BO142" s="470"/>
      <c r="BP142" s="471"/>
      <c r="BQ142" s="469"/>
      <c r="BR142" s="472"/>
      <c r="BS142" s="473"/>
      <c r="BT142" s="471"/>
      <c r="BU142" s="469"/>
      <c r="BV142" s="472"/>
      <c r="BW142" s="473"/>
      <c r="BX142" s="474">
        <v>2674.02</v>
      </c>
      <c r="BY142" s="475">
        <f>F142</f>
        <v>0</v>
      </c>
      <c r="BZ142" s="320">
        <f t="shared" si="79"/>
        <v>529.81956000000002</v>
      </c>
      <c r="CA142" s="469">
        <f>BZ142-BY142</f>
        <v>529.81956000000002</v>
      </c>
      <c r="CB142" s="476" t="e">
        <f>BZ142/BY142</f>
        <v>#DIV/0!</v>
      </c>
      <c r="CC142" s="72">
        <f t="shared" si="80"/>
        <v>529.81956000000002</v>
      </c>
      <c r="CD142" s="477">
        <f>CD143+CD146</f>
        <v>373.62556000000001</v>
      </c>
      <c r="CE142" s="185">
        <f>CE143+CE146</f>
        <v>156.84</v>
      </c>
      <c r="CF142" s="478"/>
      <c r="CG142" s="465"/>
      <c r="CH142" s="465"/>
      <c r="CI142" s="465"/>
      <c r="CJ142" s="465"/>
      <c r="CK142" s="465"/>
      <c r="CL142" s="465"/>
      <c r="CM142" s="466"/>
      <c r="CN142" s="466"/>
      <c r="CO142" s="466"/>
      <c r="CP142" s="466"/>
      <c r="CQ142" s="466"/>
      <c r="CR142" s="466"/>
      <c r="CS142" s="466"/>
      <c r="CT142" s="466"/>
      <c r="CU142" s="466"/>
      <c r="CV142" s="466"/>
      <c r="CW142" s="466"/>
      <c r="CX142" s="466"/>
      <c r="CY142" s="466"/>
      <c r="CZ142" s="466"/>
      <c r="DA142" s="179">
        <f>SUM(DA143:DA144)</f>
        <v>0</v>
      </c>
      <c r="DB142" s="179">
        <f>SUM(DB143:DB144)</f>
        <v>0</v>
      </c>
      <c r="DC142" s="179"/>
      <c r="DD142" s="179"/>
      <c r="DE142" s="179"/>
      <c r="DF142" s="179"/>
      <c r="DG142" s="180"/>
      <c r="DI142" s="826"/>
      <c r="DJ142" s="788"/>
    </row>
    <row r="143" spans="1:114" s="783" customFormat="1" hidden="1">
      <c r="A143" s="177"/>
      <c r="B143" s="187" t="s">
        <v>3</v>
      </c>
      <c r="C143" s="837" t="s">
        <v>54</v>
      </c>
      <c r="D143" s="31"/>
      <c r="E143" s="31"/>
      <c r="F143" s="31"/>
      <c r="G143" s="31"/>
      <c r="H143" s="134">
        <v>1736.59</v>
      </c>
      <c r="I143" s="134">
        <v>1356.8</v>
      </c>
      <c r="J143" s="134">
        <v>188.01</v>
      </c>
      <c r="K143" s="134">
        <v>1168.79</v>
      </c>
      <c r="L143" s="134">
        <f>G143/12</f>
        <v>0</v>
      </c>
      <c r="M143" s="134">
        <v>245.86006</v>
      </c>
      <c r="N143" s="134">
        <v>128.07</v>
      </c>
      <c r="O143" s="134">
        <f>M143*62/100</f>
        <v>152.43323720000001</v>
      </c>
      <c r="P143" s="134">
        <v>16.649999999999999</v>
      </c>
      <c r="Q143" s="134">
        <v>16.100000000000001</v>
      </c>
      <c r="R143" s="134">
        <v>113.07</v>
      </c>
      <c r="S143" s="134">
        <v>71.22</v>
      </c>
      <c r="T143" s="134">
        <f>K143/12</f>
        <v>97.399166666666659</v>
      </c>
      <c r="U143" s="134">
        <v>92.885000000000005</v>
      </c>
      <c r="V143" s="134">
        <v>6.11</v>
      </c>
      <c r="W143" s="134"/>
      <c r="X143" s="51">
        <f t="shared" si="65"/>
        <v>24.363237200000015</v>
      </c>
      <c r="Y143" s="55">
        <f t="shared" si="66"/>
        <v>1.1902337565393926</v>
      </c>
      <c r="Z143" s="134">
        <v>257.77999999999997</v>
      </c>
      <c r="AA143" s="134">
        <v>270.43</v>
      </c>
      <c r="AB143" s="134">
        <v>144.72</v>
      </c>
      <c r="AC143" s="134"/>
      <c r="AD143" s="134">
        <v>15.67</v>
      </c>
      <c r="AE143" s="134"/>
      <c r="AF143" s="134">
        <v>97.4</v>
      </c>
      <c r="AG143" s="134"/>
      <c r="AH143" s="134"/>
      <c r="AI143" s="134"/>
      <c r="AJ143" s="51">
        <f t="shared" si="68"/>
        <v>-144.72</v>
      </c>
      <c r="AK143" s="56">
        <f t="shared" si="69"/>
        <v>0</v>
      </c>
      <c r="AL143" s="134">
        <v>257.77999999999997</v>
      </c>
      <c r="AM143" s="134">
        <v>270.43</v>
      </c>
      <c r="AN143" s="134">
        <v>144.72</v>
      </c>
      <c r="AO143" s="134"/>
      <c r="AP143" s="134">
        <v>15.67</v>
      </c>
      <c r="AQ143" s="134"/>
      <c r="AR143" s="134">
        <v>97.4</v>
      </c>
      <c r="AS143" s="134"/>
      <c r="AT143" s="134"/>
      <c r="AU143" s="134"/>
      <c r="AV143" s="51">
        <f t="shared" si="71"/>
        <v>-144.72</v>
      </c>
      <c r="AW143" s="56">
        <f t="shared" si="72"/>
        <v>0</v>
      </c>
      <c r="AX143" s="31">
        <f>G143/2</f>
        <v>0</v>
      </c>
      <c r="AY143" s="31"/>
      <c r="AZ143" s="109"/>
      <c r="BA143" s="62"/>
      <c r="BB143" s="62"/>
      <c r="BC143" s="62"/>
      <c r="BD143" s="62"/>
      <c r="BE143" s="110"/>
      <c r="BF143" s="109"/>
      <c r="BG143" s="62"/>
      <c r="BH143" s="62"/>
      <c r="BI143" s="110"/>
      <c r="BJ143" s="426">
        <f>BA143-AZ143</f>
        <v>0</v>
      </c>
      <c r="BK143" s="46" t="e">
        <f>BA143/AZ143</f>
        <v>#DIV/0!</v>
      </c>
      <c r="BL143" s="428"/>
      <c r="BM143" s="61">
        <v>270.4255</v>
      </c>
      <c r="BN143" s="62"/>
      <c r="BO143" s="470"/>
      <c r="BP143" s="64"/>
      <c r="BQ143" s="61"/>
      <c r="BR143" s="65"/>
      <c r="BS143" s="66"/>
      <c r="BT143" s="64"/>
      <c r="BU143" s="61"/>
      <c r="BV143" s="479"/>
      <c r="BW143" s="66"/>
      <c r="BX143" s="431"/>
      <c r="BY143" s="68">
        <f>F143</f>
        <v>0</v>
      </c>
      <c r="BZ143" s="69">
        <f t="shared" si="79"/>
        <v>516.28556000000003</v>
      </c>
      <c r="CA143" s="61">
        <f>BZ143-BY143</f>
        <v>516.28556000000003</v>
      </c>
      <c r="CB143" s="71" t="e">
        <f>BZ143/BY143</f>
        <v>#DIV/0!</v>
      </c>
      <c r="CC143" s="72">
        <f t="shared" si="80"/>
        <v>516.28556000000003</v>
      </c>
      <c r="CD143" s="434">
        <f>BZ143-CE143</f>
        <v>359.44556</v>
      </c>
      <c r="CE143" s="62">
        <v>156.84</v>
      </c>
      <c r="CF143" s="73"/>
      <c r="CG143" s="74"/>
      <c r="CH143" s="74"/>
      <c r="CI143" s="74"/>
      <c r="CJ143" s="74"/>
      <c r="CK143" s="74"/>
      <c r="CL143" s="74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31"/>
      <c r="DB143" s="31"/>
      <c r="DC143" s="31"/>
      <c r="DD143" s="31"/>
      <c r="DE143" s="31"/>
      <c r="DF143" s="31"/>
      <c r="DG143" s="134"/>
      <c r="DI143" s="826"/>
      <c r="DJ143" s="788"/>
    </row>
    <row r="144" spans="1:114" s="783" customFormat="1" hidden="1">
      <c r="A144" s="177"/>
      <c r="B144" s="187" t="s">
        <v>92</v>
      </c>
      <c r="C144" s="837" t="s">
        <v>54</v>
      </c>
      <c r="D144" s="31"/>
      <c r="E144" s="31"/>
      <c r="F144" s="31"/>
      <c r="G144" s="31"/>
      <c r="H144" s="134">
        <v>351.59</v>
      </c>
      <c r="I144" s="134">
        <v>275.43</v>
      </c>
      <c r="J144" s="134">
        <v>38.159999999999997</v>
      </c>
      <c r="K144" s="134">
        <v>237.27</v>
      </c>
      <c r="L144" s="134">
        <f>G144/12</f>
        <v>0</v>
      </c>
      <c r="M144" s="134">
        <v>49.821750000000002</v>
      </c>
      <c r="N144" s="134">
        <v>25.95</v>
      </c>
      <c r="O144" s="134">
        <v>30.89</v>
      </c>
      <c r="P144" s="134">
        <v>3.35</v>
      </c>
      <c r="Q144" s="134">
        <v>3.26</v>
      </c>
      <c r="R144" s="134">
        <v>22.95</v>
      </c>
      <c r="S144" s="134">
        <v>14.43</v>
      </c>
      <c r="T144" s="134">
        <f>K144/12</f>
        <v>19.772500000000001</v>
      </c>
      <c r="U144" s="134">
        <v>18.82</v>
      </c>
      <c r="V144" s="134">
        <v>1.24</v>
      </c>
      <c r="W144" s="134"/>
      <c r="X144" s="51">
        <f t="shared" si="65"/>
        <v>4.9400000000000013</v>
      </c>
      <c r="Y144" s="55">
        <f t="shared" si="66"/>
        <v>1.1903660886319847</v>
      </c>
      <c r="Z144" s="134">
        <v>52.25</v>
      </c>
      <c r="AA144" s="134">
        <v>54.664000000000001</v>
      </c>
      <c r="AB144" s="134">
        <v>29.3</v>
      </c>
      <c r="AC144" s="134"/>
      <c r="AD144" s="134">
        <v>3.18</v>
      </c>
      <c r="AE144" s="134"/>
      <c r="AF144" s="134">
        <v>19.77</v>
      </c>
      <c r="AG144" s="134"/>
      <c r="AH144" s="134"/>
      <c r="AI144" s="134"/>
      <c r="AJ144" s="51">
        <f t="shared" si="68"/>
        <v>-29.3</v>
      </c>
      <c r="AK144" s="56">
        <f t="shared" si="69"/>
        <v>0</v>
      </c>
      <c r="AL144" s="134">
        <v>52.25</v>
      </c>
      <c r="AM144" s="134">
        <v>54.664000000000001</v>
      </c>
      <c r="AN144" s="134">
        <v>29.3</v>
      </c>
      <c r="AO144" s="134"/>
      <c r="AP144" s="134">
        <v>3.18</v>
      </c>
      <c r="AQ144" s="134"/>
      <c r="AR144" s="134">
        <v>19.77</v>
      </c>
      <c r="AS144" s="134"/>
      <c r="AT144" s="134"/>
      <c r="AU144" s="134"/>
      <c r="AV144" s="51">
        <f t="shared" si="71"/>
        <v>-29.3</v>
      </c>
      <c r="AW144" s="56">
        <f t="shared" si="72"/>
        <v>0</v>
      </c>
      <c r="AX144" s="31">
        <f>G144/2</f>
        <v>0</v>
      </c>
      <c r="AY144" s="31"/>
      <c r="AZ144" s="109"/>
      <c r="BA144" s="62"/>
      <c r="BB144" s="62"/>
      <c r="BC144" s="62"/>
      <c r="BD144" s="62"/>
      <c r="BE144" s="110"/>
      <c r="BF144" s="109"/>
      <c r="BG144" s="62"/>
      <c r="BH144" s="62"/>
      <c r="BI144" s="110"/>
      <c r="BJ144" s="426">
        <f>BA144-AZ144</f>
        <v>0</v>
      </c>
      <c r="BK144" s="46" t="e">
        <f>BA144/AZ144</f>
        <v>#DIV/0!</v>
      </c>
      <c r="BL144" s="428"/>
      <c r="BM144" s="61">
        <v>53.940309999999997</v>
      </c>
      <c r="BN144" s="62"/>
      <c r="BO144" s="470"/>
      <c r="BP144" s="64"/>
      <c r="BQ144" s="61"/>
      <c r="BR144" s="65"/>
      <c r="BS144" s="66"/>
      <c r="BT144" s="64"/>
      <c r="BU144" s="61"/>
      <c r="BV144" s="479"/>
      <c r="BW144" s="66"/>
      <c r="BX144" s="431"/>
      <c r="BY144" s="68">
        <f>F144</f>
        <v>0</v>
      </c>
      <c r="BZ144" s="69">
        <f t="shared" si="79"/>
        <v>103.76205999999999</v>
      </c>
      <c r="CA144" s="61">
        <f>BZ144-BY144</f>
        <v>103.76205999999999</v>
      </c>
      <c r="CB144" s="71" t="e">
        <f>BZ144/BY144</f>
        <v>#DIV/0!</v>
      </c>
      <c r="CC144" s="72">
        <f t="shared" si="80"/>
        <v>103.76205999999999</v>
      </c>
      <c r="CD144" s="434">
        <f>BZ144-CE144</f>
        <v>71.922059999999988</v>
      </c>
      <c r="CE144" s="62">
        <v>31.84</v>
      </c>
      <c r="CF144" s="73"/>
      <c r="CG144" s="74"/>
      <c r="CH144" s="74"/>
      <c r="CI144" s="74"/>
      <c r="CJ144" s="74"/>
      <c r="CK144" s="74"/>
      <c r="CL144" s="74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31"/>
      <c r="DB144" s="31"/>
      <c r="DC144" s="31"/>
      <c r="DD144" s="31"/>
      <c r="DE144" s="31"/>
      <c r="DF144" s="31"/>
      <c r="DG144" s="134"/>
      <c r="DI144" s="826"/>
      <c r="DJ144" s="788"/>
    </row>
    <row r="145" spans="1:114" s="783" customFormat="1" hidden="1">
      <c r="A145" s="194" t="s">
        <v>139</v>
      </c>
      <c r="B145" s="199" t="s">
        <v>22</v>
      </c>
      <c r="C145" s="838" t="s">
        <v>54</v>
      </c>
      <c r="D145" s="179">
        <f>SUM(D146)</f>
        <v>40.82</v>
      </c>
      <c r="E145" s="179">
        <f>SUM(E146)</f>
        <v>42</v>
      </c>
      <c r="F145" s="179">
        <v>42</v>
      </c>
      <c r="G145" s="179">
        <v>42</v>
      </c>
      <c r="H145" s="180">
        <f t="shared" ref="H145:U145" si="85">SUM(H146)</f>
        <v>0</v>
      </c>
      <c r="I145" s="180">
        <f t="shared" si="85"/>
        <v>0</v>
      </c>
      <c r="J145" s="180">
        <f t="shared" si="85"/>
        <v>0</v>
      </c>
      <c r="K145" s="180">
        <f t="shared" si="85"/>
        <v>0</v>
      </c>
      <c r="L145" s="180">
        <f t="shared" si="85"/>
        <v>0</v>
      </c>
      <c r="M145" s="180">
        <f t="shared" si="85"/>
        <v>9.66</v>
      </c>
      <c r="N145" s="180">
        <f t="shared" si="85"/>
        <v>0</v>
      </c>
      <c r="O145" s="180">
        <v>5.99</v>
      </c>
      <c r="P145" s="180">
        <v>0</v>
      </c>
      <c r="Q145" s="180">
        <v>0.63</v>
      </c>
      <c r="R145" s="180">
        <f t="shared" si="85"/>
        <v>0</v>
      </c>
      <c r="S145" s="180">
        <v>2.8</v>
      </c>
      <c r="T145" s="180">
        <f t="shared" si="85"/>
        <v>0</v>
      </c>
      <c r="U145" s="180">
        <f t="shared" si="85"/>
        <v>0</v>
      </c>
      <c r="V145" s="180">
        <v>0.24</v>
      </c>
      <c r="W145" s="180"/>
      <c r="X145" s="216"/>
      <c r="Y145" s="191"/>
      <c r="Z145" s="180">
        <f t="shared" ref="Z145:AG145" si="86">SUM(Z146)</f>
        <v>0</v>
      </c>
      <c r="AA145" s="180">
        <f t="shared" si="86"/>
        <v>3.87</v>
      </c>
      <c r="AB145" s="180">
        <f t="shared" si="86"/>
        <v>0</v>
      </c>
      <c r="AC145" s="180">
        <f t="shared" si="86"/>
        <v>0</v>
      </c>
      <c r="AD145" s="180">
        <f t="shared" si="86"/>
        <v>0</v>
      </c>
      <c r="AE145" s="180">
        <f t="shared" si="86"/>
        <v>0</v>
      </c>
      <c r="AF145" s="180">
        <f t="shared" si="86"/>
        <v>0</v>
      </c>
      <c r="AG145" s="180">
        <f t="shared" si="86"/>
        <v>0</v>
      </c>
      <c r="AH145" s="180"/>
      <c r="AI145" s="180"/>
      <c r="AJ145" s="216"/>
      <c r="AK145" s="192"/>
      <c r="AL145" s="180">
        <f t="shared" ref="AL145:AS145" si="87">SUM(AL146)</f>
        <v>0</v>
      </c>
      <c r="AM145" s="180">
        <f t="shared" si="87"/>
        <v>3.87</v>
      </c>
      <c r="AN145" s="180">
        <f t="shared" si="87"/>
        <v>0</v>
      </c>
      <c r="AO145" s="180">
        <f t="shared" si="87"/>
        <v>0</v>
      </c>
      <c r="AP145" s="180">
        <f t="shared" si="87"/>
        <v>0</v>
      </c>
      <c r="AQ145" s="180">
        <f t="shared" si="87"/>
        <v>0</v>
      </c>
      <c r="AR145" s="180">
        <f t="shared" si="87"/>
        <v>0</v>
      </c>
      <c r="AS145" s="180">
        <f t="shared" si="87"/>
        <v>0</v>
      </c>
      <c r="AT145" s="180"/>
      <c r="AU145" s="180"/>
      <c r="AV145" s="216"/>
      <c r="AW145" s="192"/>
      <c r="AX145" s="179">
        <f>G145/2</f>
        <v>21</v>
      </c>
      <c r="AY145" s="179">
        <v>110.46</v>
      </c>
      <c r="AZ145" s="184">
        <f>H145/4</f>
        <v>0</v>
      </c>
      <c r="BA145" s="185">
        <f>SUM(BA146)</f>
        <v>17.46</v>
      </c>
      <c r="BB145" s="185">
        <f t="shared" ref="BB145:BG145" si="88">SUM(BB146)</f>
        <v>0</v>
      </c>
      <c r="BC145" s="185">
        <f t="shared" si="88"/>
        <v>20.440000000000001</v>
      </c>
      <c r="BD145" s="185">
        <f t="shared" si="88"/>
        <v>0</v>
      </c>
      <c r="BE145" s="186">
        <f t="shared" si="88"/>
        <v>2.92</v>
      </c>
      <c r="BF145" s="184">
        <v>0</v>
      </c>
      <c r="BG145" s="185">
        <f t="shared" si="88"/>
        <v>18.84</v>
      </c>
      <c r="BH145" s="185"/>
      <c r="BI145" s="186"/>
      <c r="BJ145" s="426">
        <f t="shared" si="62"/>
        <v>17.46</v>
      </c>
      <c r="BK145" s="481"/>
      <c r="BL145" s="468"/>
      <c r="BM145" s="495">
        <f>SUM(BM146)</f>
        <v>3.8740000000000001</v>
      </c>
      <c r="BN145" s="264"/>
      <c r="BO145" s="470"/>
      <c r="BP145" s="496"/>
      <c r="BQ145" s="495"/>
      <c r="BR145" s="497"/>
      <c r="BS145" s="498"/>
      <c r="BT145" s="496"/>
      <c r="BU145" s="495"/>
      <c r="BV145" s="497"/>
      <c r="BW145" s="498"/>
      <c r="BX145" s="499"/>
      <c r="BY145" s="500"/>
      <c r="BZ145" s="501">
        <f t="shared" si="79"/>
        <v>13.534000000000001</v>
      </c>
      <c r="CA145" s="502"/>
      <c r="CB145" s="503"/>
      <c r="CC145" s="307">
        <f t="shared" si="80"/>
        <v>-28.466000000000001</v>
      </c>
      <c r="CD145" s="477">
        <f>SUM(CD146)</f>
        <v>14.18</v>
      </c>
      <c r="CE145" s="185"/>
      <c r="CF145" s="505"/>
      <c r="CG145" s="465"/>
      <c r="CH145" s="465"/>
      <c r="CI145" s="465"/>
      <c r="CJ145" s="465"/>
      <c r="CK145" s="465"/>
      <c r="CL145" s="465"/>
      <c r="CM145" s="466"/>
      <c r="CN145" s="466"/>
      <c r="CO145" s="466"/>
      <c r="CP145" s="466"/>
      <c r="CQ145" s="466"/>
      <c r="CR145" s="466"/>
      <c r="CS145" s="466"/>
      <c r="CT145" s="466"/>
      <c r="CU145" s="466"/>
      <c r="CV145" s="466"/>
      <c r="CW145" s="466"/>
      <c r="CX145" s="466"/>
      <c r="CY145" s="466"/>
      <c r="CZ145" s="466"/>
      <c r="DA145" s="179">
        <f>SUM(DA146)</f>
        <v>42</v>
      </c>
      <c r="DB145" s="179">
        <f>SUM(DB146)</f>
        <v>42</v>
      </c>
      <c r="DC145" s="179"/>
      <c r="DD145" s="179"/>
      <c r="DE145" s="179"/>
      <c r="DF145" s="179"/>
      <c r="DG145" s="180"/>
      <c r="DI145" s="826"/>
      <c r="DJ145" s="788"/>
    </row>
    <row r="146" spans="1:114" s="783" customFormat="1" hidden="1">
      <c r="A146" s="194"/>
      <c r="B146" s="195" t="s">
        <v>25</v>
      </c>
      <c r="C146" s="840" t="s">
        <v>54</v>
      </c>
      <c r="D146" s="31">
        <v>40.82</v>
      </c>
      <c r="E146" s="31">
        <v>42</v>
      </c>
      <c r="F146" s="31">
        <v>40.82</v>
      </c>
      <c r="G146" s="31">
        <v>40.82</v>
      </c>
      <c r="H146" s="145"/>
      <c r="I146" s="145"/>
      <c r="J146" s="145"/>
      <c r="K146" s="145"/>
      <c r="L146" s="145"/>
      <c r="M146" s="145">
        <v>9.66</v>
      </c>
      <c r="N146" s="145"/>
      <c r="O146" s="145">
        <v>9.66</v>
      </c>
      <c r="P146" s="145"/>
      <c r="Q146" s="145"/>
      <c r="R146" s="145"/>
      <c r="S146" s="145"/>
      <c r="T146" s="145"/>
      <c r="U146" s="145"/>
      <c r="V146" s="145"/>
      <c r="W146" s="145"/>
      <c r="X146" s="218"/>
      <c r="Y146" s="197"/>
      <c r="Z146" s="145"/>
      <c r="AA146" s="145">
        <v>3.87</v>
      </c>
      <c r="AB146" s="145"/>
      <c r="AC146" s="145"/>
      <c r="AD146" s="145"/>
      <c r="AE146" s="145"/>
      <c r="AF146" s="145"/>
      <c r="AG146" s="145"/>
      <c r="AH146" s="145"/>
      <c r="AI146" s="145"/>
      <c r="AJ146" s="218"/>
      <c r="AK146" s="198"/>
      <c r="AL146" s="145"/>
      <c r="AM146" s="145">
        <v>3.87</v>
      </c>
      <c r="AN146" s="145"/>
      <c r="AO146" s="145"/>
      <c r="AP146" s="145"/>
      <c r="AQ146" s="145"/>
      <c r="AR146" s="145"/>
      <c r="AS146" s="145"/>
      <c r="AT146" s="145"/>
      <c r="AU146" s="145"/>
      <c r="AV146" s="218"/>
      <c r="AW146" s="198"/>
      <c r="AX146" s="144"/>
      <c r="AY146" s="144">
        <v>110.46</v>
      </c>
      <c r="AZ146" s="149"/>
      <c r="BA146" s="150">
        <v>17.46</v>
      </c>
      <c r="BB146" s="150"/>
      <c r="BC146" s="150">
        <v>20.440000000000001</v>
      </c>
      <c r="BD146" s="150"/>
      <c r="BE146" s="151">
        <v>2.92</v>
      </c>
      <c r="BF146" s="149"/>
      <c r="BG146" s="150">
        <v>18.84</v>
      </c>
      <c r="BH146" s="150"/>
      <c r="BI146" s="151"/>
      <c r="BJ146" s="435">
        <f t="shared" si="62"/>
        <v>17.46</v>
      </c>
      <c r="BK146" s="482"/>
      <c r="BL146" s="437"/>
      <c r="BM146" s="483">
        <v>3.8740000000000001</v>
      </c>
      <c r="BN146" s="150"/>
      <c r="BO146" s="484"/>
      <c r="BP146" s="485"/>
      <c r="BQ146" s="483"/>
      <c r="BR146" s="486"/>
      <c r="BS146" s="487"/>
      <c r="BT146" s="485"/>
      <c r="BU146" s="483"/>
      <c r="BV146" s="486"/>
      <c r="BW146" s="487"/>
      <c r="BX146" s="440"/>
      <c r="BY146" s="488"/>
      <c r="BZ146" s="489">
        <f t="shared" si="79"/>
        <v>13.534000000000001</v>
      </c>
      <c r="CA146" s="490"/>
      <c r="CB146" s="491"/>
      <c r="CC146" s="246">
        <f t="shared" si="80"/>
        <v>-28.466000000000001</v>
      </c>
      <c r="CD146" s="443">
        <v>14.18</v>
      </c>
      <c r="CE146" s="150"/>
      <c r="CF146" s="492"/>
      <c r="CG146" s="74"/>
      <c r="CH146" s="74"/>
      <c r="CI146" s="74"/>
      <c r="CJ146" s="74"/>
      <c r="CK146" s="74"/>
      <c r="CL146" s="74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144">
        <v>42</v>
      </c>
      <c r="DB146" s="144">
        <v>42</v>
      </c>
      <c r="DC146" s="31">
        <f>48.67+4.02</f>
        <v>52.69</v>
      </c>
      <c r="DD146" s="31">
        <v>63.03</v>
      </c>
      <c r="DE146" s="31">
        <f>48.67+4.02</f>
        <v>52.69</v>
      </c>
      <c r="DF146" s="31">
        <v>26.34</v>
      </c>
      <c r="DG146" s="134">
        <v>26.35</v>
      </c>
      <c r="DH146" s="835"/>
      <c r="DI146" s="826"/>
      <c r="DJ146" s="788"/>
    </row>
    <row r="147" spans="1:114" s="783" customFormat="1" ht="0.75" customHeight="1">
      <c r="A147" s="194"/>
      <c r="B147" s="195"/>
      <c r="C147" s="840"/>
      <c r="D147" s="31"/>
      <c r="E147" s="31"/>
      <c r="F147" s="31"/>
      <c r="G147" s="31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218"/>
      <c r="Y147" s="197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218"/>
      <c r="AK147" s="198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218"/>
      <c r="AW147" s="198"/>
      <c r="AX147" s="144"/>
      <c r="AY147" s="144"/>
      <c r="AZ147" s="149"/>
      <c r="BA147" s="150"/>
      <c r="BB147" s="150"/>
      <c r="BC147" s="150"/>
      <c r="BD147" s="150"/>
      <c r="BE147" s="151"/>
      <c r="BF147" s="149"/>
      <c r="BG147" s="150"/>
      <c r="BH147" s="150"/>
      <c r="BI147" s="151"/>
      <c r="BJ147" s="435"/>
      <c r="BK147" s="482"/>
      <c r="BL147" s="437"/>
      <c r="BM147" s="483"/>
      <c r="BN147" s="150"/>
      <c r="BO147" s="484"/>
      <c r="BP147" s="485"/>
      <c r="BQ147" s="483"/>
      <c r="BR147" s="486"/>
      <c r="BS147" s="487"/>
      <c r="BT147" s="485"/>
      <c r="BU147" s="483"/>
      <c r="BV147" s="486"/>
      <c r="BW147" s="487"/>
      <c r="BX147" s="440"/>
      <c r="BY147" s="488"/>
      <c r="BZ147" s="489"/>
      <c r="CA147" s="490"/>
      <c r="CB147" s="491"/>
      <c r="CC147" s="246"/>
      <c r="CD147" s="443"/>
      <c r="CE147" s="150"/>
      <c r="CF147" s="492"/>
      <c r="CG147" s="74"/>
      <c r="CH147" s="74"/>
      <c r="CI147" s="74"/>
      <c r="CJ147" s="74"/>
      <c r="CK147" s="74"/>
      <c r="CL147" s="74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144"/>
      <c r="DB147" s="144"/>
      <c r="DC147" s="31"/>
      <c r="DD147" s="31"/>
      <c r="DE147" s="31"/>
      <c r="DF147" s="31"/>
      <c r="DG147" s="134"/>
      <c r="DH147" s="835"/>
      <c r="DI147" s="826"/>
      <c r="DJ147" s="788"/>
    </row>
    <row r="148" spans="1:114" s="783" customFormat="1">
      <c r="A148" s="177"/>
      <c r="B148" s="178" t="s">
        <v>346</v>
      </c>
      <c r="C148" s="838"/>
      <c r="D148" s="179"/>
      <c r="E148" s="179"/>
      <c r="F148" s="179"/>
      <c r="G148" s="179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1"/>
      <c r="Y148" s="191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1"/>
      <c r="AK148" s="192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1"/>
      <c r="AW148" s="192"/>
      <c r="AX148" s="179"/>
      <c r="AY148" s="179"/>
      <c r="AZ148" s="184"/>
      <c r="BA148" s="185"/>
      <c r="BB148" s="185"/>
      <c r="BC148" s="185"/>
      <c r="BD148" s="185"/>
      <c r="BE148" s="186"/>
      <c r="BF148" s="184"/>
      <c r="BG148" s="185"/>
      <c r="BH148" s="185"/>
      <c r="BI148" s="186"/>
      <c r="BJ148" s="426"/>
      <c r="BK148" s="481"/>
      <c r="BL148" s="468"/>
      <c r="BM148" s="469"/>
      <c r="BN148" s="185"/>
      <c r="BO148" s="527"/>
      <c r="BP148" s="471"/>
      <c r="BQ148" s="469"/>
      <c r="BR148" s="472"/>
      <c r="BS148" s="473"/>
      <c r="BT148" s="471"/>
      <c r="BU148" s="469"/>
      <c r="BV148" s="472"/>
      <c r="BW148" s="473"/>
      <c r="BX148" s="474"/>
      <c r="BY148" s="475"/>
      <c r="BZ148" s="320"/>
      <c r="CA148" s="469"/>
      <c r="CB148" s="476"/>
      <c r="CC148" s="307"/>
      <c r="CD148" s="477"/>
      <c r="CE148" s="185"/>
      <c r="CF148" s="478"/>
      <c r="CG148" s="465"/>
      <c r="CH148" s="465"/>
      <c r="CI148" s="465"/>
      <c r="CJ148" s="465"/>
      <c r="CK148" s="465"/>
      <c r="CL148" s="465"/>
      <c r="CM148" s="466"/>
      <c r="CN148" s="466"/>
      <c r="CO148" s="466"/>
      <c r="CP148" s="466"/>
      <c r="CQ148" s="466"/>
      <c r="CR148" s="466"/>
      <c r="CS148" s="466"/>
      <c r="CT148" s="466"/>
      <c r="CU148" s="466"/>
      <c r="CV148" s="466"/>
      <c r="CW148" s="466"/>
      <c r="CX148" s="466"/>
      <c r="CY148" s="466"/>
      <c r="CZ148" s="466"/>
      <c r="DA148" s="179"/>
      <c r="DB148" s="179"/>
      <c r="DC148" s="179">
        <v>479.34</v>
      </c>
      <c r="DD148" s="179">
        <v>444.55</v>
      </c>
      <c r="DE148" s="179">
        <v>489.36</v>
      </c>
      <c r="DF148" s="31"/>
      <c r="DG148" s="180"/>
      <c r="DI148" s="826"/>
      <c r="DJ148" s="788"/>
    </row>
    <row r="149" spans="1:114" s="783" customFormat="1" hidden="1">
      <c r="A149" s="177"/>
      <c r="B149" s="187" t="s">
        <v>13</v>
      </c>
      <c r="C149" s="837" t="s">
        <v>54</v>
      </c>
      <c r="D149" s="31">
        <v>43.15</v>
      </c>
      <c r="E149" s="31">
        <v>45</v>
      </c>
      <c r="F149" s="31">
        <v>45</v>
      </c>
      <c r="G149" s="31">
        <v>45</v>
      </c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51"/>
      <c r="Y149" s="55"/>
      <c r="Z149" s="134"/>
      <c r="AA149" s="134">
        <v>2.5099999999999998</v>
      </c>
      <c r="AB149" s="134"/>
      <c r="AC149" s="134"/>
      <c r="AD149" s="134"/>
      <c r="AE149" s="134"/>
      <c r="AF149" s="134"/>
      <c r="AG149" s="134"/>
      <c r="AH149" s="134"/>
      <c r="AI149" s="134"/>
      <c r="AJ149" s="51"/>
      <c r="AK149" s="56"/>
      <c r="AL149" s="134"/>
      <c r="AM149" s="134">
        <v>2.5099999999999998</v>
      </c>
      <c r="AN149" s="134"/>
      <c r="AO149" s="134"/>
      <c r="AP149" s="134"/>
      <c r="AQ149" s="134"/>
      <c r="AR149" s="134"/>
      <c r="AS149" s="134"/>
      <c r="AT149" s="134"/>
      <c r="AU149" s="134"/>
      <c r="AV149" s="51"/>
      <c r="AW149" s="56"/>
      <c r="AX149" s="31"/>
      <c r="AY149" s="31">
        <v>214.1</v>
      </c>
      <c r="AZ149" s="184"/>
      <c r="BA149" s="150">
        <v>23.87</v>
      </c>
      <c r="BB149" s="62"/>
      <c r="BC149" s="62">
        <v>7.52</v>
      </c>
      <c r="BD149" s="62"/>
      <c r="BE149" s="110">
        <v>11.76</v>
      </c>
      <c r="BF149" s="109">
        <v>100.27</v>
      </c>
      <c r="BG149" s="62"/>
      <c r="BH149" s="62"/>
      <c r="BI149" s="110"/>
      <c r="BJ149" s="426">
        <f t="shared" si="62"/>
        <v>23.87</v>
      </c>
      <c r="BK149" s="46"/>
      <c r="BL149" s="428"/>
      <c r="BM149" s="61">
        <v>2.5110000000000001</v>
      </c>
      <c r="BN149" s="62"/>
      <c r="BO149" s="470"/>
      <c r="BP149" s="64"/>
      <c r="BQ149" s="61"/>
      <c r="BR149" s="65"/>
      <c r="BS149" s="66"/>
      <c r="BT149" s="64"/>
      <c r="BU149" s="61"/>
      <c r="BV149" s="65"/>
      <c r="BW149" s="66"/>
      <c r="BX149" s="431"/>
      <c r="BY149" s="68"/>
      <c r="BZ149" s="69">
        <f>M149+BM149+BQ149+BU149</f>
        <v>2.5110000000000001</v>
      </c>
      <c r="CA149" s="70"/>
      <c r="CB149" s="71"/>
      <c r="CC149" s="72">
        <f>BZ149-E149</f>
        <v>-42.488999999999997</v>
      </c>
      <c r="CD149" s="434">
        <v>9.7200000000000006</v>
      </c>
      <c r="CE149" s="62"/>
      <c r="CF149" s="73"/>
      <c r="CG149" s="74"/>
      <c r="CH149" s="74"/>
      <c r="CI149" s="74"/>
      <c r="CJ149" s="74"/>
      <c r="CK149" s="74"/>
      <c r="CL149" s="74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31">
        <v>45</v>
      </c>
      <c r="DB149" s="31">
        <v>45</v>
      </c>
      <c r="DC149" s="31">
        <v>45</v>
      </c>
      <c r="DD149" s="31">
        <v>96.03</v>
      </c>
      <c r="DE149" s="31">
        <v>45</v>
      </c>
      <c r="DF149" s="31">
        <v>22.5</v>
      </c>
      <c r="DG149" s="134">
        <v>22.5</v>
      </c>
      <c r="DI149" s="826"/>
      <c r="DJ149" s="788"/>
    </row>
    <row r="150" spans="1:114" s="783" customFormat="1" hidden="1">
      <c r="A150" s="177"/>
      <c r="B150" s="187" t="s">
        <v>311</v>
      </c>
      <c r="C150" s="837" t="s">
        <v>54</v>
      </c>
      <c r="D150" s="31"/>
      <c r="E150" s="31"/>
      <c r="F150" s="31"/>
      <c r="G150" s="31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51"/>
      <c r="Y150" s="55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51"/>
      <c r="AK150" s="56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51"/>
      <c r="AW150" s="56"/>
      <c r="AX150" s="31"/>
      <c r="AY150" s="31">
        <v>2.35</v>
      </c>
      <c r="AZ150" s="184"/>
      <c r="BA150" s="150"/>
      <c r="BB150" s="62"/>
      <c r="BC150" s="62"/>
      <c r="BD150" s="62"/>
      <c r="BE150" s="110"/>
      <c r="BF150" s="109"/>
      <c r="BG150" s="62"/>
      <c r="BH150" s="62"/>
      <c r="BI150" s="110"/>
      <c r="BJ150" s="426"/>
      <c r="BK150" s="46"/>
      <c r="BL150" s="428"/>
      <c r="BM150" s="61"/>
      <c r="BN150" s="62"/>
      <c r="BO150" s="470"/>
      <c r="BP150" s="64"/>
      <c r="BQ150" s="61"/>
      <c r="BR150" s="65"/>
      <c r="BS150" s="66"/>
      <c r="BT150" s="64"/>
      <c r="BU150" s="61"/>
      <c r="BV150" s="65"/>
      <c r="BW150" s="66"/>
      <c r="BX150" s="431"/>
      <c r="BY150" s="68"/>
      <c r="BZ150" s="69"/>
      <c r="CA150" s="70"/>
      <c r="CB150" s="71"/>
      <c r="CC150" s="72"/>
      <c r="CD150" s="434"/>
      <c r="CE150" s="62"/>
      <c r="CF150" s="73"/>
      <c r="CG150" s="74"/>
      <c r="CH150" s="74"/>
      <c r="CI150" s="74"/>
      <c r="CJ150" s="74"/>
      <c r="CK150" s="74"/>
      <c r="CL150" s="74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31"/>
      <c r="DB150" s="31"/>
      <c r="DC150" s="31"/>
      <c r="DD150" s="31"/>
      <c r="DE150" s="31"/>
      <c r="DF150" s="31"/>
      <c r="DG150" s="134"/>
      <c r="DI150" s="826"/>
      <c r="DJ150" s="788"/>
    </row>
    <row r="151" spans="1:114" s="783" customFormat="1" hidden="1">
      <c r="A151" s="177"/>
      <c r="B151" s="187" t="s">
        <v>209</v>
      </c>
      <c r="C151" s="837" t="s">
        <v>54</v>
      </c>
      <c r="D151" s="31"/>
      <c r="E151" s="31"/>
      <c r="F151" s="31"/>
      <c r="G151" s="31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51"/>
      <c r="Y151" s="55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51"/>
      <c r="AK151" s="56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51"/>
      <c r="AW151" s="56"/>
      <c r="AX151" s="31"/>
      <c r="AY151" s="31"/>
      <c r="AZ151" s="184"/>
      <c r="BA151" s="150"/>
      <c r="BB151" s="62"/>
      <c r="BC151" s="62"/>
      <c r="BD151" s="62"/>
      <c r="BE151" s="110"/>
      <c r="BF151" s="109"/>
      <c r="BG151" s="62">
        <v>6.74</v>
      </c>
      <c r="BH151" s="62"/>
      <c r="BI151" s="110"/>
      <c r="BJ151" s="426"/>
      <c r="BK151" s="46"/>
      <c r="BL151" s="428"/>
      <c r="BM151" s="61"/>
      <c r="BN151" s="62"/>
      <c r="BO151" s="470"/>
      <c r="BP151" s="64"/>
      <c r="BQ151" s="61"/>
      <c r="BR151" s="65"/>
      <c r="BS151" s="66"/>
      <c r="BT151" s="64"/>
      <c r="BU151" s="61"/>
      <c r="BV151" s="65"/>
      <c r="BW151" s="66"/>
      <c r="BX151" s="431"/>
      <c r="BY151" s="68"/>
      <c r="BZ151" s="69"/>
      <c r="CA151" s="70"/>
      <c r="CB151" s="71"/>
      <c r="CC151" s="72"/>
      <c r="CD151" s="434"/>
      <c r="CE151" s="62"/>
      <c r="CF151" s="73"/>
      <c r="CG151" s="74"/>
      <c r="CH151" s="74"/>
      <c r="CI151" s="74"/>
      <c r="CJ151" s="74"/>
      <c r="CK151" s="74"/>
      <c r="CL151" s="74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31"/>
      <c r="DB151" s="31"/>
      <c r="DC151" s="31"/>
      <c r="DD151" s="31"/>
      <c r="DE151" s="31"/>
      <c r="DF151" s="31"/>
      <c r="DG151" s="134"/>
      <c r="DI151" s="826"/>
      <c r="DJ151" s="788"/>
    </row>
    <row r="152" spans="1:114" s="783" customFormat="1" ht="24" hidden="1">
      <c r="A152" s="177"/>
      <c r="B152" s="187" t="s">
        <v>229</v>
      </c>
      <c r="C152" s="837" t="s">
        <v>54</v>
      </c>
      <c r="D152" s="31"/>
      <c r="E152" s="31"/>
      <c r="F152" s="31"/>
      <c r="G152" s="31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51"/>
      <c r="Y152" s="55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51"/>
      <c r="AK152" s="56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51"/>
      <c r="AW152" s="56"/>
      <c r="AX152" s="31"/>
      <c r="AY152" s="31"/>
      <c r="AZ152" s="184"/>
      <c r="BA152" s="150"/>
      <c r="BB152" s="62"/>
      <c r="BC152" s="62"/>
      <c r="BD152" s="62"/>
      <c r="BE152" s="110"/>
      <c r="BF152" s="109"/>
      <c r="BG152" s="62">
        <v>13</v>
      </c>
      <c r="BH152" s="62"/>
      <c r="BI152" s="110"/>
      <c r="BJ152" s="426"/>
      <c r="BK152" s="46"/>
      <c r="BL152" s="428"/>
      <c r="BM152" s="61"/>
      <c r="BN152" s="62"/>
      <c r="BO152" s="470"/>
      <c r="BP152" s="64"/>
      <c r="BQ152" s="61"/>
      <c r="BR152" s="65"/>
      <c r="BS152" s="66"/>
      <c r="BT152" s="64"/>
      <c r="BU152" s="61"/>
      <c r="BV152" s="65"/>
      <c r="BW152" s="66"/>
      <c r="BX152" s="431"/>
      <c r="BY152" s="68"/>
      <c r="BZ152" s="69"/>
      <c r="CA152" s="70"/>
      <c r="CB152" s="71"/>
      <c r="CC152" s="72"/>
      <c r="CD152" s="434"/>
      <c r="CE152" s="62"/>
      <c r="CF152" s="73"/>
      <c r="CG152" s="74"/>
      <c r="CH152" s="74"/>
      <c r="CI152" s="74"/>
      <c r="CJ152" s="74"/>
      <c r="CK152" s="74"/>
      <c r="CL152" s="74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31"/>
      <c r="DB152" s="31"/>
      <c r="DC152" s="31"/>
      <c r="DD152" s="31"/>
      <c r="DE152" s="31"/>
      <c r="DF152" s="31"/>
      <c r="DG152" s="134"/>
      <c r="DI152" s="826"/>
      <c r="DJ152" s="788"/>
    </row>
    <row r="153" spans="1:114" s="783" customFormat="1" hidden="1">
      <c r="A153" s="177"/>
      <c r="B153" s="187" t="s">
        <v>231</v>
      </c>
      <c r="C153" s="837" t="s">
        <v>54</v>
      </c>
      <c r="D153" s="31"/>
      <c r="E153" s="31"/>
      <c r="F153" s="31"/>
      <c r="G153" s="31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51"/>
      <c r="Y153" s="55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51"/>
      <c r="AK153" s="56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51"/>
      <c r="AW153" s="56"/>
      <c r="AX153" s="31"/>
      <c r="AY153" s="31"/>
      <c r="AZ153" s="184"/>
      <c r="BA153" s="150"/>
      <c r="BB153" s="62"/>
      <c r="BC153" s="62"/>
      <c r="BD153" s="62"/>
      <c r="BE153" s="110"/>
      <c r="BF153" s="109"/>
      <c r="BG153" s="62">
        <v>3.95</v>
      </c>
      <c r="BH153" s="62"/>
      <c r="BI153" s="110"/>
      <c r="BJ153" s="426"/>
      <c r="BK153" s="46"/>
      <c r="BL153" s="428"/>
      <c r="BM153" s="61"/>
      <c r="BN153" s="62"/>
      <c r="BO153" s="470"/>
      <c r="BP153" s="64"/>
      <c r="BQ153" s="61"/>
      <c r="BR153" s="65"/>
      <c r="BS153" s="66"/>
      <c r="BT153" s="64"/>
      <c r="BU153" s="61"/>
      <c r="BV153" s="65"/>
      <c r="BW153" s="66"/>
      <c r="BX153" s="431"/>
      <c r="BY153" s="68"/>
      <c r="BZ153" s="69"/>
      <c r="CA153" s="70"/>
      <c r="CB153" s="71"/>
      <c r="CC153" s="72"/>
      <c r="CD153" s="434"/>
      <c r="CE153" s="62"/>
      <c r="CF153" s="73"/>
      <c r="CG153" s="74"/>
      <c r="CH153" s="74"/>
      <c r="CI153" s="74"/>
      <c r="CJ153" s="74"/>
      <c r="CK153" s="74"/>
      <c r="CL153" s="74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31"/>
      <c r="DB153" s="31"/>
      <c r="DC153" s="31"/>
      <c r="DD153" s="31"/>
      <c r="DE153" s="31"/>
      <c r="DF153" s="31"/>
      <c r="DG153" s="134"/>
      <c r="DI153" s="826"/>
      <c r="DJ153" s="788"/>
    </row>
    <row r="154" spans="1:114" s="783" customFormat="1" hidden="1">
      <c r="A154" s="177"/>
      <c r="B154" s="187" t="s">
        <v>207</v>
      </c>
      <c r="C154" s="837" t="s">
        <v>54</v>
      </c>
      <c r="D154" s="31"/>
      <c r="E154" s="31"/>
      <c r="F154" s="31"/>
      <c r="G154" s="31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51"/>
      <c r="Y154" s="55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51"/>
      <c r="AK154" s="56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51"/>
      <c r="AW154" s="56"/>
      <c r="AX154" s="31"/>
      <c r="AY154" s="31"/>
      <c r="AZ154" s="184"/>
      <c r="BA154" s="150"/>
      <c r="BB154" s="62"/>
      <c r="BC154" s="62"/>
      <c r="BD154" s="62"/>
      <c r="BE154" s="110"/>
      <c r="BF154" s="109"/>
      <c r="BG154" s="62">
        <v>1.34</v>
      </c>
      <c r="BH154" s="62"/>
      <c r="BI154" s="110"/>
      <c r="BJ154" s="426"/>
      <c r="BK154" s="46"/>
      <c r="BL154" s="428"/>
      <c r="BM154" s="61"/>
      <c r="BN154" s="62"/>
      <c r="BO154" s="470"/>
      <c r="BP154" s="64"/>
      <c r="BQ154" s="61"/>
      <c r="BR154" s="65"/>
      <c r="BS154" s="66"/>
      <c r="BT154" s="64"/>
      <c r="BU154" s="61"/>
      <c r="BV154" s="65"/>
      <c r="BW154" s="66"/>
      <c r="BX154" s="431"/>
      <c r="BY154" s="68"/>
      <c r="BZ154" s="69"/>
      <c r="CA154" s="70"/>
      <c r="CB154" s="71"/>
      <c r="CC154" s="72"/>
      <c r="CD154" s="434"/>
      <c r="CE154" s="62"/>
      <c r="CF154" s="73"/>
      <c r="CG154" s="74"/>
      <c r="CH154" s="74"/>
      <c r="CI154" s="74"/>
      <c r="CJ154" s="74"/>
      <c r="CK154" s="74"/>
      <c r="CL154" s="74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31"/>
      <c r="DB154" s="31"/>
      <c r="DC154" s="31"/>
      <c r="DD154" s="31"/>
      <c r="DE154" s="31"/>
      <c r="DF154" s="31"/>
      <c r="DG154" s="134"/>
      <c r="DI154" s="826"/>
      <c r="DJ154" s="788"/>
    </row>
    <row r="155" spans="1:114" s="783" customFormat="1" ht="24" hidden="1">
      <c r="A155" s="177"/>
      <c r="B155" s="187" t="s">
        <v>208</v>
      </c>
      <c r="C155" s="837" t="s">
        <v>54</v>
      </c>
      <c r="D155" s="31"/>
      <c r="E155" s="31"/>
      <c r="F155" s="31"/>
      <c r="G155" s="31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51"/>
      <c r="Y155" s="55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51"/>
      <c r="AK155" s="56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51"/>
      <c r="AW155" s="56"/>
      <c r="AX155" s="31"/>
      <c r="AY155" s="31"/>
      <c r="AZ155" s="184"/>
      <c r="BA155" s="150"/>
      <c r="BB155" s="62"/>
      <c r="BC155" s="62"/>
      <c r="BD155" s="62"/>
      <c r="BE155" s="110"/>
      <c r="BF155" s="109"/>
      <c r="BG155" s="62">
        <v>1.18</v>
      </c>
      <c r="BH155" s="62"/>
      <c r="BI155" s="110"/>
      <c r="BJ155" s="426"/>
      <c r="BK155" s="46"/>
      <c r="BL155" s="428"/>
      <c r="BM155" s="61"/>
      <c r="BN155" s="62"/>
      <c r="BO155" s="470"/>
      <c r="BP155" s="64"/>
      <c r="BQ155" s="61"/>
      <c r="BR155" s="65"/>
      <c r="BS155" s="66"/>
      <c r="BT155" s="64"/>
      <c r="BU155" s="61"/>
      <c r="BV155" s="65"/>
      <c r="BW155" s="66"/>
      <c r="BX155" s="431"/>
      <c r="BY155" s="68"/>
      <c r="BZ155" s="69"/>
      <c r="CA155" s="70"/>
      <c r="CB155" s="71"/>
      <c r="CC155" s="72"/>
      <c r="CD155" s="434"/>
      <c r="CE155" s="62"/>
      <c r="CF155" s="73"/>
      <c r="CG155" s="74"/>
      <c r="CH155" s="74"/>
      <c r="CI155" s="74"/>
      <c r="CJ155" s="74"/>
      <c r="CK155" s="74"/>
      <c r="CL155" s="74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31"/>
      <c r="DB155" s="31"/>
      <c r="DC155" s="31"/>
      <c r="DD155" s="31"/>
      <c r="DE155" s="31"/>
      <c r="DF155" s="31"/>
      <c r="DG155" s="134"/>
      <c r="DI155" s="826"/>
      <c r="DJ155" s="788"/>
    </row>
    <row r="156" spans="1:114" s="783" customFormat="1" hidden="1">
      <c r="A156" s="177"/>
      <c r="B156" s="187" t="s">
        <v>312</v>
      </c>
      <c r="C156" s="837" t="s">
        <v>54</v>
      </c>
      <c r="D156" s="31"/>
      <c r="E156" s="31"/>
      <c r="F156" s="31"/>
      <c r="G156" s="31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51"/>
      <c r="Y156" s="55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51"/>
      <c r="AK156" s="56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51"/>
      <c r="AW156" s="56"/>
      <c r="AX156" s="31"/>
      <c r="AY156" s="31">
        <v>2.81</v>
      </c>
      <c r="AZ156" s="184"/>
      <c r="BA156" s="150"/>
      <c r="BB156" s="62"/>
      <c r="BC156" s="62"/>
      <c r="BD156" s="62"/>
      <c r="BE156" s="110"/>
      <c r="BF156" s="109"/>
      <c r="BG156" s="62"/>
      <c r="BH156" s="62"/>
      <c r="BI156" s="110"/>
      <c r="BJ156" s="426"/>
      <c r="BK156" s="46"/>
      <c r="BL156" s="428"/>
      <c r="BM156" s="61"/>
      <c r="BN156" s="62"/>
      <c r="BO156" s="470"/>
      <c r="BP156" s="64"/>
      <c r="BQ156" s="61"/>
      <c r="BR156" s="65"/>
      <c r="BS156" s="66"/>
      <c r="BT156" s="64"/>
      <c r="BU156" s="61"/>
      <c r="BV156" s="65"/>
      <c r="BW156" s="66"/>
      <c r="BX156" s="431"/>
      <c r="BY156" s="68"/>
      <c r="BZ156" s="69"/>
      <c r="CA156" s="70"/>
      <c r="CB156" s="71"/>
      <c r="CC156" s="72"/>
      <c r="CD156" s="434"/>
      <c r="CE156" s="62"/>
      <c r="CF156" s="73"/>
      <c r="CG156" s="74"/>
      <c r="CH156" s="74"/>
      <c r="CI156" s="74"/>
      <c r="CJ156" s="74"/>
      <c r="CK156" s="74"/>
      <c r="CL156" s="74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31"/>
      <c r="DB156" s="31"/>
      <c r="DC156" s="31"/>
      <c r="DD156" s="31"/>
      <c r="DE156" s="31"/>
      <c r="DF156" s="31"/>
      <c r="DG156" s="134"/>
      <c r="DI156" s="826"/>
      <c r="DJ156" s="788"/>
    </row>
    <row r="157" spans="1:114" s="783" customFormat="1" hidden="1">
      <c r="A157" s="177"/>
      <c r="B157" s="187" t="s">
        <v>210</v>
      </c>
      <c r="C157" s="837" t="s">
        <v>54</v>
      </c>
      <c r="D157" s="31"/>
      <c r="E157" s="31"/>
      <c r="F157" s="31"/>
      <c r="G157" s="31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51"/>
      <c r="Y157" s="55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51"/>
      <c r="AK157" s="56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51"/>
      <c r="AW157" s="56"/>
      <c r="AX157" s="31"/>
      <c r="AY157" s="31"/>
      <c r="AZ157" s="184"/>
      <c r="BA157" s="150"/>
      <c r="BB157" s="62"/>
      <c r="BC157" s="62"/>
      <c r="BD157" s="62"/>
      <c r="BE157" s="110"/>
      <c r="BF157" s="109"/>
      <c r="BG157" s="62">
        <v>1.72</v>
      </c>
      <c r="BH157" s="62"/>
      <c r="BI157" s="110"/>
      <c r="BJ157" s="426"/>
      <c r="BK157" s="46"/>
      <c r="BL157" s="428"/>
      <c r="BM157" s="61"/>
      <c r="BN157" s="62"/>
      <c r="BO157" s="470"/>
      <c r="BP157" s="64"/>
      <c r="BQ157" s="61"/>
      <c r="BR157" s="65"/>
      <c r="BS157" s="66"/>
      <c r="BT157" s="64"/>
      <c r="BU157" s="61"/>
      <c r="BV157" s="65"/>
      <c r="BW157" s="66"/>
      <c r="BX157" s="431"/>
      <c r="BY157" s="68"/>
      <c r="BZ157" s="69"/>
      <c r="CA157" s="70"/>
      <c r="CB157" s="71"/>
      <c r="CC157" s="72"/>
      <c r="CD157" s="434"/>
      <c r="CE157" s="62"/>
      <c r="CF157" s="73"/>
      <c r="CG157" s="74"/>
      <c r="CH157" s="74"/>
      <c r="CI157" s="74"/>
      <c r="CJ157" s="74"/>
      <c r="CK157" s="74"/>
      <c r="CL157" s="74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31"/>
      <c r="DB157" s="31"/>
      <c r="DC157" s="31"/>
      <c r="DD157" s="31"/>
      <c r="DE157" s="31"/>
      <c r="DF157" s="31"/>
      <c r="DG157" s="134"/>
      <c r="DI157" s="826"/>
      <c r="DJ157" s="788"/>
    </row>
    <row r="158" spans="1:114" s="783" customFormat="1" hidden="1">
      <c r="A158" s="177"/>
      <c r="B158" s="187" t="s">
        <v>10</v>
      </c>
      <c r="C158" s="837" t="s">
        <v>54</v>
      </c>
      <c r="D158" s="31">
        <v>123.56</v>
      </c>
      <c r="E158" s="31">
        <v>88</v>
      </c>
      <c r="F158" s="31">
        <v>88</v>
      </c>
      <c r="G158" s="31">
        <v>88</v>
      </c>
      <c r="H158" s="134"/>
      <c r="I158" s="134">
        <v>111.755</v>
      </c>
      <c r="J158" s="134">
        <v>77.09</v>
      </c>
      <c r="K158" s="134">
        <f>I158-J158</f>
        <v>34.664999999999992</v>
      </c>
      <c r="L158" s="134">
        <f>G158/12</f>
        <v>7.333333333333333</v>
      </c>
      <c r="M158" s="134">
        <v>0.96</v>
      </c>
      <c r="N158" s="134"/>
      <c r="O158" s="134"/>
      <c r="P158" s="134"/>
      <c r="Q158" s="134"/>
      <c r="R158" s="134">
        <f>J158/12</f>
        <v>6.4241666666666672</v>
      </c>
      <c r="S158" s="134"/>
      <c r="T158" s="134">
        <f>K158/12</f>
        <v>2.8887499999999995</v>
      </c>
      <c r="U158" s="134">
        <v>0.29699999999999999</v>
      </c>
      <c r="V158" s="134"/>
      <c r="W158" s="134"/>
      <c r="X158" s="51"/>
      <c r="Y158" s="55"/>
      <c r="Z158" s="134">
        <v>9.31</v>
      </c>
      <c r="AA158" s="134"/>
      <c r="AB158" s="134"/>
      <c r="AC158" s="134"/>
      <c r="AD158" s="134">
        <v>6.42</v>
      </c>
      <c r="AE158" s="134"/>
      <c r="AF158" s="134">
        <v>2.89</v>
      </c>
      <c r="AG158" s="134"/>
      <c r="AH158" s="134"/>
      <c r="AI158" s="134"/>
      <c r="AJ158" s="51"/>
      <c r="AK158" s="56"/>
      <c r="AL158" s="134">
        <v>9.31</v>
      </c>
      <c r="AM158" s="134"/>
      <c r="AN158" s="134"/>
      <c r="AO158" s="134"/>
      <c r="AP158" s="134">
        <v>6.42</v>
      </c>
      <c r="AQ158" s="134"/>
      <c r="AR158" s="134">
        <v>2.89</v>
      </c>
      <c r="AS158" s="134"/>
      <c r="AT158" s="134"/>
      <c r="AU158" s="134"/>
      <c r="AV158" s="51"/>
      <c r="AW158" s="56"/>
      <c r="AX158" s="31">
        <f>G158/2</f>
        <v>44</v>
      </c>
      <c r="AY158" s="31">
        <f>2.82</f>
        <v>2.82</v>
      </c>
      <c r="AZ158" s="184"/>
      <c r="BA158" s="150">
        <v>2.73</v>
      </c>
      <c r="BB158" s="62"/>
      <c r="BC158" s="62">
        <v>0.87</v>
      </c>
      <c r="BD158" s="62"/>
      <c r="BE158" s="110">
        <v>0.18</v>
      </c>
      <c r="BF158" s="109">
        <v>0.08</v>
      </c>
      <c r="BG158" s="62"/>
      <c r="BH158" s="62"/>
      <c r="BI158" s="110"/>
      <c r="BJ158" s="426">
        <f t="shared" si="62"/>
        <v>2.73</v>
      </c>
      <c r="BK158" s="46"/>
      <c r="BL158" s="428"/>
      <c r="BM158" s="61"/>
      <c r="BN158" s="62"/>
      <c r="BO158" s="470"/>
      <c r="BP158" s="64"/>
      <c r="BQ158" s="61"/>
      <c r="BR158" s="65"/>
      <c r="BS158" s="66"/>
      <c r="BT158" s="64"/>
      <c r="BU158" s="61"/>
      <c r="BV158" s="65"/>
      <c r="BW158" s="66"/>
      <c r="BX158" s="431"/>
      <c r="BY158" s="68"/>
      <c r="BZ158" s="69">
        <f>M158+BM158+BQ158+BU158</f>
        <v>0.96</v>
      </c>
      <c r="CA158" s="70"/>
      <c r="CB158" s="71"/>
      <c r="CC158" s="72">
        <f t="shared" ref="CC158:CC173" si="89">BZ158-E158</f>
        <v>-87.04</v>
      </c>
      <c r="CD158" s="434">
        <v>13.77</v>
      </c>
      <c r="CE158" s="62"/>
      <c r="CF158" s="73"/>
      <c r="CG158" s="74"/>
      <c r="CH158" s="74"/>
      <c r="CI158" s="74"/>
      <c r="CJ158" s="74"/>
      <c r="CK158" s="74"/>
      <c r="CL158" s="74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31">
        <v>88</v>
      </c>
      <c r="DB158" s="31">
        <v>88</v>
      </c>
      <c r="DC158" s="31">
        <v>88</v>
      </c>
      <c r="DD158" s="31">
        <v>12.45</v>
      </c>
      <c r="DE158" s="31">
        <v>88</v>
      </c>
      <c r="DF158" s="31">
        <v>44</v>
      </c>
      <c r="DG158" s="134">
        <v>44</v>
      </c>
      <c r="DI158" s="826"/>
      <c r="DJ158" s="788"/>
    </row>
    <row r="159" spans="1:114" s="783" customFormat="1" hidden="1">
      <c r="A159" s="177"/>
      <c r="B159" s="187" t="s">
        <v>179</v>
      </c>
      <c r="C159" s="837" t="s">
        <v>54</v>
      </c>
      <c r="D159" s="31">
        <v>300</v>
      </c>
      <c r="E159" s="31">
        <v>300</v>
      </c>
      <c r="F159" s="31">
        <v>300</v>
      </c>
      <c r="G159" s="31">
        <v>300</v>
      </c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51"/>
      <c r="Y159" s="55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51"/>
      <c r="AK159" s="56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51"/>
      <c r="AW159" s="56"/>
      <c r="AX159" s="31"/>
      <c r="AY159" s="31">
        <v>297.89</v>
      </c>
      <c r="AZ159" s="184"/>
      <c r="BA159" s="150">
        <v>284.88</v>
      </c>
      <c r="BB159" s="62"/>
      <c r="BC159" s="62"/>
      <c r="BD159" s="62"/>
      <c r="BE159" s="110">
        <v>13.01</v>
      </c>
      <c r="BF159" s="109">
        <v>2.11</v>
      </c>
      <c r="BG159" s="62"/>
      <c r="BH159" s="62"/>
      <c r="BI159" s="110"/>
      <c r="BJ159" s="426"/>
      <c r="BK159" s="46"/>
      <c r="BL159" s="428"/>
      <c r="BM159" s="61"/>
      <c r="BN159" s="62"/>
      <c r="BO159" s="470"/>
      <c r="BP159" s="64"/>
      <c r="BQ159" s="61"/>
      <c r="BR159" s="65"/>
      <c r="BS159" s="66"/>
      <c r="BT159" s="64"/>
      <c r="BU159" s="61"/>
      <c r="BV159" s="65"/>
      <c r="BW159" s="66"/>
      <c r="BX159" s="431"/>
      <c r="BY159" s="68"/>
      <c r="BZ159" s="69"/>
      <c r="CA159" s="70"/>
      <c r="CB159" s="71"/>
      <c r="CC159" s="72"/>
      <c r="CD159" s="434"/>
      <c r="CE159" s="62"/>
      <c r="CF159" s="73"/>
      <c r="CG159" s="74"/>
      <c r="CH159" s="74"/>
      <c r="CI159" s="74"/>
      <c r="CJ159" s="74"/>
      <c r="CK159" s="74"/>
      <c r="CL159" s="74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31">
        <v>300</v>
      </c>
      <c r="DB159" s="31">
        <v>300</v>
      </c>
      <c r="DC159" s="31">
        <v>300</v>
      </c>
      <c r="DD159" s="31">
        <v>300</v>
      </c>
      <c r="DE159" s="31">
        <v>300</v>
      </c>
      <c r="DF159" s="31">
        <v>150</v>
      </c>
      <c r="DG159" s="134">
        <v>150</v>
      </c>
      <c r="DI159" s="826"/>
      <c r="DJ159" s="788"/>
    </row>
    <row r="160" spans="1:114" s="783" customFormat="1" hidden="1">
      <c r="A160" s="177"/>
      <c r="B160" s="187" t="s">
        <v>60</v>
      </c>
      <c r="C160" s="837" t="s">
        <v>54</v>
      </c>
      <c r="D160" s="31">
        <v>8.94</v>
      </c>
      <c r="E160" s="31">
        <v>9</v>
      </c>
      <c r="F160" s="31">
        <v>9</v>
      </c>
      <c r="G160" s="31">
        <v>9</v>
      </c>
      <c r="H160" s="134"/>
      <c r="I160" s="134"/>
      <c r="J160" s="134"/>
      <c r="K160" s="134"/>
      <c r="L160" s="134"/>
      <c r="M160" s="134">
        <v>0.18</v>
      </c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51"/>
      <c r="Y160" s="55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51"/>
      <c r="AK160" s="56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51"/>
      <c r="AW160" s="56"/>
      <c r="AX160" s="31"/>
      <c r="AY160" s="31">
        <f>14.72+4.79</f>
        <v>19.510000000000002</v>
      </c>
      <c r="AZ160" s="184"/>
      <c r="BA160" s="62"/>
      <c r="BB160" s="62"/>
      <c r="BC160" s="62"/>
      <c r="BD160" s="62"/>
      <c r="BE160" s="110"/>
      <c r="BF160" s="109"/>
      <c r="BG160" s="62"/>
      <c r="BH160" s="62"/>
      <c r="BI160" s="110"/>
      <c r="BJ160" s="426">
        <f t="shared" si="62"/>
        <v>0</v>
      </c>
      <c r="BK160" s="46"/>
      <c r="BL160" s="428"/>
      <c r="BM160" s="61"/>
      <c r="BN160" s="62"/>
      <c r="BO160" s="470"/>
      <c r="BP160" s="64"/>
      <c r="BQ160" s="61"/>
      <c r="BR160" s="65"/>
      <c r="BS160" s="66"/>
      <c r="BT160" s="64"/>
      <c r="BU160" s="61"/>
      <c r="BV160" s="65"/>
      <c r="BW160" s="66"/>
      <c r="BX160" s="431"/>
      <c r="BY160" s="68"/>
      <c r="BZ160" s="69">
        <f>M160+BM160+BQ160+BU160</f>
        <v>0.18</v>
      </c>
      <c r="CA160" s="70"/>
      <c r="CB160" s="71"/>
      <c r="CC160" s="72">
        <f t="shared" si="89"/>
        <v>-8.82</v>
      </c>
      <c r="CD160" s="434">
        <v>20.92</v>
      </c>
      <c r="CE160" s="62"/>
      <c r="CF160" s="73"/>
      <c r="CG160" s="74"/>
      <c r="CH160" s="74"/>
      <c r="CI160" s="74"/>
      <c r="CJ160" s="74"/>
      <c r="CK160" s="74"/>
      <c r="CL160" s="74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31"/>
      <c r="DB160" s="31"/>
      <c r="DC160" s="31">
        <v>20</v>
      </c>
      <c r="DD160" s="31">
        <v>4</v>
      </c>
      <c r="DE160" s="31">
        <v>20</v>
      </c>
      <c r="DF160" s="31">
        <v>10</v>
      </c>
      <c r="DG160" s="134">
        <v>10</v>
      </c>
      <c r="DI160" s="826"/>
      <c r="DJ160" s="788"/>
    </row>
    <row r="161" spans="1:114" s="783" customFormat="1" hidden="1">
      <c r="A161" s="177"/>
      <c r="B161" s="187" t="s">
        <v>199</v>
      </c>
      <c r="C161" s="837" t="s">
        <v>54</v>
      </c>
      <c r="D161" s="31"/>
      <c r="E161" s="31"/>
      <c r="F161" s="31"/>
      <c r="G161" s="31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51"/>
      <c r="Y161" s="55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51"/>
      <c r="AK161" s="56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51"/>
      <c r="AW161" s="56"/>
      <c r="AX161" s="31"/>
      <c r="AY161" s="31"/>
      <c r="AZ161" s="184"/>
      <c r="BA161" s="62"/>
      <c r="BB161" s="62"/>
      <c r="BC161" s="62"/>
      <c r="BD161" s="62"/>
      <c r="BE161" s="110"/>
      <c r="BF161" s="109"/>
      <c r="BG161" s="62">
        <v>6.32</v>
      </c>
      <c r="BH161" s="62"/>
      <c r="BI161" s="110"/>
      <c r="BJ161" s="426"/>
      <c r="BK161" s="46"/>
      <c r="BL161" s="428"/>
      <c r="BM161" s="61"/>
      <c r="BN161" s="62"/>
      <c r="BO161" s="470"/>
      <c r="BP161" s="64"/>
      <c r="BQ161" s="61"/>
      <c r="BR161" s="65"/>
      <c r="BS161" s="66"/>
      <c r="BT161" s="64"/>
      <c r="BU161" s="61"/>
      <c r="BV161" s="65"/>
      <c r="BW161" s="66"/>
      <c r="BX161" s="431"/>
      <c r="BY161" s="68"/>
      <c r="BZ161" s="69"/>
      <c r="CA161" s="70"/>
      <c r="CB161" s="71"/>
      <c r="CC161" s="72"/>
      <c r="CD161" s="434"/>
      <c r="CE161" s="62"/>
      <c r="CF161" s="73"/>
      <c r="CG161" s="74"/>
      <c r="CH161" s="74"/>
      <c r="CI161" s="74"/>
      <c r="CJ161" s="74"/>
      <c r="CK161" s="74"/>
      <c r="CL161" s="74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31"/>
      <c r="DB161" s="31"/>
      <c r="DC161" s="31"/>
      <c r="DD161" s="31"/>
      <c r="DE161" s="31"/>
      <c r="DF161" s="31"/>
      <c r="DG161" s="134"/>
      <c r="DI161" s="826"/>
      <c r="DJ161" s="788"/>
    </row>
    <row r="162" spans="1:114" s="783" customFormat="1" ht="24" hidden="1">
      <c r="A162" s="177"/>
      <c r="B162" s="187" t="s">
        <v>211</v>
      </c>
      <c r="C162" s="837" t="s">
        <v>54</v>
      </c>
      <c r="D162" s="31"/>
      <c r="E162" s="31"/>
      <c r="F162" s="31"/>
      <c r="G162" s="31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51"/>
      <c r="Y162" s="55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51"/>
      <c r="AK162" s="56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51"/>
      <c r="AW162" s="56"/>
      <c r="AX162" s="31"/>
      <c r="AY162" s="31"/>
      <c r="AZ162" s="184"/>
      <c r="BA162" s="62"/>
      <c r="BB162" s="62"/>
      <c r="BC162" s="62"/>
      <c r="BD162" s="62"/>
      <c r="BE162" s="110"/>
      <c r="BF162" s="109"/>
      <c r="BG162" s="62">
        <v>9</v>
      </c>
      <c r="BH162" s="62"/>
      <c r="BI162" s="110"/>
      <c r="BJ162" s="426"/>
      <c r="BK162" s="46"/>
      <c r="BL162" s="428"/>
      <c r="BM162" s="61"/>
      <c r="BN162" s="62"/>
      <c r="BO162" s="470"/>
      <c r="BP162" s="64"/>
      <c r="BQ162" s="61"/>
      <c r="BR162" s="65"/>
      <c r="BS162" s="66"/>
      <c r="BT162" s="64"/>
      <c r="BU162" s="61"/>
      <c r="BV162" s="65"/>
      <c r="BW162" s="66"/>
      <c r="BX162" s="431"/>
      <c r="BY162" s="68"/>
      <c r="BZ162" s="69"/>
      <c r="CA162" s="70"/>
      <c r="CB162" s="71"/>
      <c r="CC162" s="72"/>
      <c r="CD162" s="434"/>
      <c r="CE162" s="62"/>
      <c r="CF162" s="73"/>
      <c r="CG162" s="74"/>
      <c r="CH162" s="74"/>
      <c r="CI162" s="74"/>
      <c r="CJ162" s="74"/>
      <c r="CK162" s="74"/>
      <c r="CL162" s="74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31">
        <v>9</v>
      </c>
      <c r="DB162" s="31">
        <v>9</v>
      </c>
      <c r="DC162" s="31"/>
      <c r="DD162" s="31"/>
      <c r="DE162" s="31"/>
      <c r="DF162" s="31"/>
      <c r="DG162" s="134"/>
      <c r="DI162" s="826"/>
      <c r="DJ162" s="788"/>
    </row>
    <row r="163" spans="1:114" s="783" customFormat="1" hidden="1">
      <c r="A163" s="177"/>
      <c r="B163" s="187" t="s">
        <v>198</v>
      </c>
      <c r="C163" s="837" t="s">
        <v>54</v>
      </c>
      <c r="D163" s="31"/>
      <c r="E163" s="31"/>
      <c r="F163" s="31"/>
      <c r="G163" s="31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51"/>
      <c r="Y163" s="55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51"/>
      <c r="AK163" s="56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51"/>
      <c r="AW163" s="56"/>
      <c r="AX163" s="31"/>
      <c r="AY163" s="31"/>
      <c r="AZ163" s="184"/>
      <c r="BA163" s="62"/>
      <c r="BB163" s="62"/>
      <c r="BC163" s="62"/>
      <c r="BD163" s="62"/>
      <c r="BE163" s="110"/>
      <c r="BF163" s="109"/>
      <c r="BG163" s="62">
        <v>3.56</v>
      </c>
      <c r="BH163" s="62"/>
      <c r="BI163" s="110"/>
      <c r="BJ163" s="426"/>
      <c r="BK163" s="46"/>
      <c r="BL163" s="428"/>
      <c r="BM163" s="61"/>
      <c r="BN163" s="62"/>
      <c r="BO163" s="470"/>
      <c r="BP163" s="64"/>
      <c r="BQ163" s="61"/>
      <c r="BR163" s="65"/>
      <c r="BS163" s="66"/>
      <c r="BT163" s="64"/>
      <c r="BU163" s="61"/>
      <c r="BV163" s="65"/>
      <c r="BW163" s="66"/>
      <c r="BX163" s="431"/>
      <c r="BY163" s="68"/>
      <c r="BZ163" s="69"/>
      <c r="CA163" s="70"/>
      <c r="CB163" s="71"/>
      <c r="CC163" s="72"/>
      <c r="CD163" s="434"/>
      <c r="CE163" s="62"/>
      <c r="CF163" s="73"/>
      <c r="CG163" s="74"/>
      <c r="CH163" s="74"/>
      <c r="CI163" s="74"/>
      <c r="CJ163" s="74"/>
      <c r="CK163" s="74"/>
      <c r="CL163" s="74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31"/>
      <c r="DB163" s="31"/>
      <c r="DC163" s="31"/>
      <c r="DD163" s="31"/>
      <c r="DE163" s="31"/>
      <c r="DF163" s="31"/>
      <c r="DG163" s="134"/>
      <c r="DI163" s="826"/>
      <c r="DJ163" s="788"/>
    </row>
    <row r="164" spans="1:114" s="783" customFormat="1" hidden="1">
      <c r="A164" s="177"/>
      <c r="B164" s="187" t="s">
        <v>230</v>
      </c>
      <c r="C164" s="837" t="s">
        <v>54</v>
      </c>
      <c r="D164" s="31"/>
      <c r="E164" s="31"/>
      <c r="F164" s="31"/>
      <c r="G164" s="31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51"/>
      <c r="Y164" s="55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51"/>
      <c r="AK164" s="56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51"/>
      <c r="AW164" s="56"/>
      <c r="AX164" s="31"/>
      <c r="AY164" s="31"/>
      <c r="AZ164" s="184"/>
      <c r="BA164" s="62"/>
      <c r="BB164" s="62"/>
      <c r="BC164" s="62"/>
      <c r="BD164" s="62"/>
      <c r="BE164" s="110"/>
      <c r="BF164" s="109"/>
      <c r="BG164" s="62">
        <v>3.93</v>
      </c>
      <c r="BH164" s="62"/>
      <c r="BI164" s="110"/>
      <c r="BJ164" s="426"/>
      <c r="BK164" s="46"/>
      <c r="BL164" s="428"/>
      <c r="BM164" s="61"/>
      <c r="BN164" s="62"/>
      <c r="BO164" s="470"/>
      <c r="BP164" s="64"/>
      <c r="BQ164" s="61"/>
      <c r="BR164" s="65"/>
      <c r="BS164" s="66"/>
      <c r="BT164" s="64"/>
      <c r="BU164" s="61"/>
      <c r="BV164" s="65"/>
      <c r="BW164" s="66"/>
      <c r="BX164" s="431"/>
      <c r="BY164" s="68"/>
      <c r="BZ164" s="69"/>
      <c r="CA164" s="70"/>
      <c r="CB164" s="71"/>
      <c r="CC164" s="72"/>
      <c r="CD164" s="434"/>
      <c r="CE164" s="62"/>
      <c r="CF164" s="73"/>
      <c r="CG164" s="74"/>
      <c r="CH164" s="74"/>
      <c r="CI164" s="74"/>
      <c r="CJ164" s="74"/>
      <c r="CK164" s="74"/>
      <c r="CL164" s="74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31"/>
      <c r="DB164" s="31"/>
      <c r="DC164" s="31"/>
      <c r="DD164" s="31"/>
      <c r="DE164" s="31"/>
      <c r="DF164" s="31"/>
      <c r="DG164" s="134"/>
      <c r="DI164" s="826"/>
      <c r="DJ164" s="788"/>
    </row>
    <row r="165" spans="1:114" s="783" customFormat="1" hidden="1">
      <c r="A165" s="177"/>
      <c r="B165" s="187" t="s">
        <v>180</v>
      </c>
      <c r="C165" s="837" t="s">
        <v>54</v>
      </c>
      <c r="D165" s="31">
        <v>130.36000000000001</v>
      </c>
      <c r="E165" s="31"/>
      <c r="F165" s="31"/>
      <c r="G165" s="31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51"/>
      <c r="Y165" s="55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51"/>
      <c r="AK165" s="56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51"/>
      <c r="AW165" s="56"/>
      <c r="AX165" s="31"/>
      <c r="AY165" s="31"/>
      <c r="AZ165" s="184"/>
      <c r="BA165" s="62"/>
      <c r="BB165" s="62"/>
      <c r="BC165" s="62"/>
      <c r="BD165" s="62"/>
      <c r="BE165" s="110"/>
      <c r="BF165" s="109"/>
      <c r="BG165" s="62"/>
      <c r="BH165" s="62"/>
      <c r="BI165" s="110"/>
      <c r="BJ165" s="426"/>
      <c r="BK165" s="46"/>
      <c r="BL165" s="428"/>
      <c r="BM165" s="61"/>
      <c r="BN165" s="62"/>
      <c r="BO165" s="470"/>
      <c r="BP165" s="64"/>
      <c r="BQ165" s="61"/>
      <c r="BR165" s="65"/>
      <c r="BS165" s="66"/>
      <c r="BT165" s="64"/>
      <c r="BU165" s="61"/>
      <c r="BV165" s="65"/>
      <c r="BW165" s="66"/>
      <c r="BX165" s="431"/>
      <c r="BY165" s="68"/>
      <c r="BZ165" s="69"/>
      <c r="CA165" s="70"/>
      <c r="CB165" s="71"/>
      <c r="CC165" s="72"/>
      <c r="CD165" s="434"/>
      <c r="CE165" s="62"/>
      <c r="CF165" s="73"/>
      <c r="CG165" s="74"/>
      <c r="CH165" s="74"/>
      <c r="CI165" s="74"/>
      <c r="CJ165" s="74"/>
      <c r="CK165" s="74"/>
      <c r="CL165" s="74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31"/>
      <c r="DB165" s="31"/>
      <c r="DC165" s="31"/>
      <c r="DD165" s="31"/>
      <c r="DE165" s="31"/>
      <c r="DF165" s="31"/>
      <c r="DG165" s="134"/>
      <c r="DI165" s="826"/>
      <c r="DJ165" s="788"/>
    </row>
    <row r="166" spans="1:114" s="783" customFormat="1" hidden="1">
      <c r="A166" s="177"/>
      <c r="B166" s="187" t="s">
        <v>248</v>
      </c>
      <c r="C166" s="837" t="s">
        <v>54</v>
      </c>
      <c r="D166" s="31"/>
      <c r="E166" s="31">
        <v>1.2</v>
      </c>
      <c r="F166" s="31">
        <v>1.2</v>
      </c>
      <c r="G166" s="31">
        <v>1.2</v>
      </c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51"/>
      <c r="Y166" s="55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51"/>
      <c r="AK166" s="56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51"/>
      <c r="AW166" s="56"/>
      <c r="AX166" s="31"/>
      <c r="AY166" s="31"/>
      <c r="AZ166" s="184"/>
      <c r="BA166" s="62"/>
      <c r="BB166" s="62"/>
      <c r="BC166" s="62"/>
      <c r="BD166" s="62"/>
      <c r="BE166" s="110"/>
      <c r="BF166" s="109"/>
      <c r="BG166" s="62"/>
      <c r="BH166" s="62"/>
      <c r="BI166" s="110"/>
      <c r="BJ166" s="426"/>
      <c r="BK166" s="46"/>
      <c r="BL166" s="428"/>
      <c r="BM166" s="61"/>
      <c r="BN166" s="62"/>
      <c r="BO166" s="470"/>
      <c r="BP166" s="64"/>
      <c r="BQ166" s="61"/>
      <c r="BR166" s="65"/>
      <c r="BS166" s="66"/>
      <c r="BT166" s="64"/>
      <c r="BU166" s="61"/>
      <c r="BV166" s="65"/>
      <c r="BW166" s="66"/>
      <c r="BX166" s="431"/>
      <c r="BY166" s="68"/>
      <c r="BZ166" s="69"/>
      <c r="CA166" s="70"/>
      <c r="CB166" s="71"/>
      <c r="CC166" s="72"/>
      <c r="CD166" s="434"/>
      <c r="CE166" s="62"/>
      <c r="CF166" s="73"/>
      <c r="CG166" s="74"/>
      <c r="CH166" s="74"/>
      <c r="CI166" s="74"/>
      <c r="CJ166" s="74"/>
      <c r="CK166" s="74"/>
      <c r="CL166" s="74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31">
        <v>1.2</v>
      </c>
      <c r="DB166" s="31">
        <v>1.2</v>
      </c>
      <c r="DC166" s="31">
        <v>1.2</v>
      </c>
      <c r="DD166" s="31">
        <v>1.2</v>
      </c>
      <c r="DE166" s="31">
        <v>1.2</v>
      </c>
      <c r="DF166" s="31">
        <v>0.6</v>
      </c>
      <c r="DG166" s="134">
        <v>0.6</v>
      </c>
      <c r="DI166" s="826"/>
      <c r="DJ166" s="788"/>
    </row>
    <row r="167" spans="1:114" s="783" customFormat="1" hidden="1">
      <c r="A167" s="177"/>
      <c r="B167" s="187" t="s">
        <v>19</v>
      </c>
      <c r="C167" s="837" t="s">
        <v>54</v>
      </c>
      <c r="D167" s="31">
        <v>14</v>
      </c>
      <c r="E167" s="31">
        <v>54</v>
      </c>
      <c r="F167" s="31">
        <v>54</v>
      </c>
      <c r="G167" s="31">
        <v>54</v>
      </c>
      <c r="H167" s="134"/>
      <c r="I167" s="134">
        <f>22.7+1.72</f>
        <v>24.419999999999998</v>
      </c>
      <c r="J167" s="134">
        <v>10.35</v>
      </c>
      <c r="K167" s="134">
        <f>I167-J167</f>
        <v>14.069999999999999</v>
      </c>
      <c r="L167" s="134">
        <f>G167/12</f>
        <v>4.5</v>
      </c>
      <c r="M167" s="134"/>
      <c r="N167" s="134"/>
      <c r="O167" s="134"/>
      <c r="P167" s="134"/>
      <c r="Q167" s="134"/>
      <c r="R167" s="134">
        <f>J167/12</f>
        <v>0.86249999999999993</v>
      </c>
      <c r="S167" s="134"/>
      <c r="T167" s="134">
        <f>K167/12</f>
        <v>1.1724999999999999</v>
      </c>
      <c r="U167" s="134"/>
      <c r="V167" s="134"/>
      <c r="W167" s="134"/>
      <c r="X167" s="51"/>
      <c r="Y167" s="55"/>
      <c r="Z167" s="134">
        <v>2.04</v>
      </c>
      <c r="AA167" s="134">
        <v>10.07</v>
      </c>
      <c r="AB167" s="134"/>
      <c r="AC167" s="134"/>
      <c r="AD167" s="134">
        <v>0.86</v>
      </c>
      <c r="AE167" s="134"/>
      <c r="AF167" s="134">
        <v>1.17</v>
      </c>
      <c r="AG167" s="134"/>
      <c r="AH167" s="134"/>
      <c r="AI167" s="134"/>
      <c r="AJ167" s="51"/>
      <c r="AK167" s="56"/>
      <c r="AL167" s="134">
        <v>2.04</v>
      </c>
      <c r="AM167" s="134">
        <v>10.07</v>
      </c>
      <c r="AN167" s="134"/>
      <c r="AO167" s="134"/>
      <c r="AP167" s="134">
        <v>0.86</v>
      </c>
      <c r="AQ167" s="134"/>
      <c r="AR167" s="134">
        <v>1.17</v>
      </c>
      <c r="AS167" s="134"/>
      <c r="AT167" s="134"/>
      <c r="AU167" s="134"/>
      <c r="AV167" s="51"/>
      <c r="AW167" s="56"/>
      <c r="AX167" s="31">
        <f>G167/2</f>
        <v>27</v>
      </c>
      <c r="AY167" s="31">
        <v>67.34</v>
      </c>
      <c r="AZ167" s="184"/>
      <c r="BA167" s="62">
        <v>4.46</v>
      </c>
      <c r="BB167" s="62"/>
      <c r="BC167" s="62">
        <v>8.6999999999999993</v>
      </c>
      <c r="BD167" s="62"/>
      <c r="BE167" s="110">
        <v>0.84</v>
      </c>
      <c r="BF167" s="109">
        <v>15.12</v>
      </c>
      <c r="BG167" s="62">
        <v>24.31</v>
      </c>
      <c r="BH167" s="62"/>
      <c r="BI167" s="110"/>
      <c r="BJ167" s="426">
        <f>BA167-AZ167</f>
        <v>4.46</v>
      </c>
      <c r="BK167" s="46"/>
      <c r="BL167" s="428"/>
      <c r="BM167" s="61">
        <v>10.071</v>
      </c>
      <c r="BN167" s="62"/>
      <c r="BO167" s="470"/>
      <c r="BP167" s="64"/>
      <c r="BQ167" s="61"/>
      <c r="BR167" s="65"/>
      <c r="BS167" s="66"/>
      <c r="BT167" s="64"/>
      <c r="BU167" s="61"/>
      <c r="BV167" s="65"/>
      <c r="BW167" s="66"/>
      <c r="BX167" s="431"/>
      <c r="BY167" s="68"/>
      <c r="BZ167" s="69">
        <f>M167+BM167+BQ167+BU167</f>
        <v>10.071</v>
      </c>
      <c r="CA167" s="70"/>
      <c r="CB167" s="71"/>
      <c r="CC167" s="72">
        <f t="shared" si="89"/>
        <v>-43.929000000000002</v>
      </c>
      <c r="CD167" s="434">
        <v>41.02</v>
      </c>
      <c r="CE167" s="62"/>
      <c r="CF167" s="73"/>
      <c r="CG167" s="74"/>
      <c r="CH167" s="74"/>
      <c r="CI167" s="74"/>
      <c r="CJ167" s="74"/>
      <c r="CK167" s="74"/>
      <c r="CL167" s="74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31">
        <v>54</v>
      </c>
      <c r="DB167" s="31">
        <v>54</v>
      </c>
      <c r="DC167" s="31">
        <v>54</v>
      </c>
      <c r="DD167" s="31">
        <v>35.450000000000003</v>
      </c>
      <c r="DE167" s="31">
        <v>54</v>
      </c>
      <c r="DF167" s="31">
        <v>27</v>
      </c>
      <c r="DG167" s="134">
        <v>27</v>
      </c>
      <c r="DI167" s="826"/>
      <c r="DJ167" s="788"/>
    </row>
    <row r="168" spans="1:114" s="783" customFormat="1">
      <c r="A168" s="208" t="s">
        <v>264</v>
      </c>
      <c r="B168" s="160" t="s">
        <v>181</v>
      </c>
      <c r="C168" s="833" t="s">
        <v>54</v>
      </c>
      <c r="D168" s="117" t="e">
        <f>SUM(D53,D136)</f>
        <v>#REF!</v>
      </c>
      <c r="E168" s="117" t="e">
        <f>SUM(E53,E136)</f>
        <v>#REF!</v>
      </c>
      <c r="F168" s="117" t="e">
        <f>SUM(F53,F136)</f>
        <v>#REF!</v>
      </c>
      <c r="G168" s="117" t="e">
        <f>SUM(G53,G136)</f>
        <v>#REF!</v>
      </c>
      <c r="H168" s="117" t="e">
        <f t="shared" ref="H168:O168" si="90">H53+H136</f>
        <v>#REF!</v>
      </c>
      <c r="I168" s="117" t="e">
        <f t="shared" si="90"/>
        <v>#REF!</v>
      </c>
      <c r="J168" s="117" t="e">
        <f t="shared" si="90"/>
        <v>#REF!</v>
      </c>
      <c r="K168" s="117" t="e">
        <f t="shared" si="90"/>
        <v>#REF!</v>
      </c>
      <c r="L168" s="117" t="e">
        <f t="shared" si="90"/>
        <v>#REF!</v>
      </c>
      <c r="M168" s="117" t="e">
        <f t="shared" si="90"/>
        <v>#REF!</v>
      </c>
      <c r="N168" s="117" t="e">
        <f t="shared" si="90"/>
        <v>#REF!</v>
      </c>
      <c r="O168" s="117" t="e">
        <f t="shared" si="90"/>
        <v>#REF!</v>
      </c>
      <c r="P168" s="117" t="e">
        <f>P136+P53</f>
        <v>#REF!</v>
      </c>
      <c r="Q168" s="117" t="e">
        <f>Q136+Q53</f>
        <v>#REF!</v>
      </c>
      <c r="R168" s="117" t="e">
        <f>R53+R136</f>
        <v>#REF!</v>
      </c>
      <c r="S168" s="117" t="e">
        <f>S53+S136</f>
        <v>#REF!</v>
      </c>
      <c r="T168" s="117" t="e">
        <f>T53+T136</f>
        <v>#REF!</v>
      </c>
      <c r="U168" s="117" t="e">
        <f>U53+U136</f>
        <v>#REF!</v>
      </c>
      <c r="V168" s="117" t="e">
        <f>V136+V53</f>
        <v>#REF!</v>
      </c>
      <c r="W168" s="117"/>
      <c r="X168" s="209" t="e">
        <f t="shared" ref="X168:X175" si="91">O168-N168</f>
        <v>#REF!</v>
      </c>
      <c r="Y168" s="210" t="e">
        <f t="shared" ref="Y168:Y175" si="92">O168/N168</f>
        <v>#REF!</v>
      </c>
      <c r="Z168" s="117" t="e">
        <f t="shared" ref="Z168:AG168" si="93">Z53+Z136</f>
        <v>#REF!</v>
      </c>
      <c r="AA168" s="117" t="e">
        <f t="shared" si="93"/>
        <v>#REF!</v>
      </c>
      <c r="AB168" s="117" t="e">
        <f t="shared" si="93"/>
        <v>#REF!</v>
      </c>
      <c r="AC168" s="117" t="e">
        <f t="shared" si="93"/>
        <v>#REF!</v>
      </c>
      <c r="AD168" s="117" t="e">
        <f t="shared" si="93"/>
        <v>#REF!</v>
      </c>
      <c r="AE168" s="117" t="e">
        <f t="shared" si="93"/>
        <v>#REF!</v>
      </c>
      <c r="AF168" s="117" t="e">
        <f t="shared" si="93"/>
        <v>#REF!</v>
      </c>
      <c r="AG168" s="117" t="e">
        <f t="shared" si="93"/>
        <v>#REF!</v>
      </c>
      <c r="AH168" s="117" t="e">
        <f>AH136+AH53</f>
        <v>#REF!</v>
      </c>
      <c r="AI168" s="117"/>
      <c r="AJ168" s="209" t="e">
        <f t="shared" ref="AJ168:AJ175" si="94">AC168-AB168</f>
        <v>#REF!</v>
      </c>
      <c r="AK168" s="211" t="e">
        <f t="shared" ref="AK168:AK175" si="95">AC168/AB168</f>
        <v>#REF!</v>
      </c>
      <c r="AL168" s="117" t="e">
        <f t="shared" ref="AL168:AS168" si="96">AL53+AL136</f>
        <v>#REF!</v>
      </c>
      <c r="AM168" s="117" t="e">
        <f t="shared" si="96"/>
        <v>#REF!</v>
      </c>
      <c r="AN168" s="117" t="e">
        <f t="shared" si="96"/>
        <v>#REF!</v>
      </c>
      <c r="AO168" s="117" t="e">
        <f t="shared" si="96"/>
        <v>#REF!</v>
      </c>
      <c r="AP168" s="117" t="e">
        <f t="shared" si="96"/>
        <v>#REF!</v>
      </c>
      <c r="AQ168" s="117" t="e">
        <f t="shared" si="96"/>
        <v>#REF!</v>
      </c>
      <c r="AR168" s="117" t="e">
        <f t="shared" si="96"/>
        <v>#REF!</v>
      </c>
      <c r="AS168" s="117" t="e">
        <f t="shared" si="96"/>
        <v>#REF!</v>
      </c>
      <c r="AT168" s="117" t="e">
        <f>AT136+AT53</f>
        <v>#REF!</v>
      </c>
      <c r="AU168" s="117"/>
      <c r="AV168" s="209" t="e">
        <f t="shared" ref="AV168:AV175" si="97">AO168-AN168</f>
        <v>#REF!</v>
      </c>
      <c r="AW168" s="211" t="e">
        <f t="shared" ref="AW168:AW175" si="98">AO168/AN168</f>
        <v>#REF!</v>
      </c>
      <c r="AX168" s="117" t="e">
        <f>G168/2</f>
        <v>#REF!</v>
      </c>
      <c r="AY168" s="117" t="e">
        <f>AY53+AY136</f>
        <v>#REF!</v>
      </c>
      <c r="AZ168" s="121" t="e">
        <f>AZ53+AZ136</f>
        <v>#REF!</v>
      </c>
      <c r="BA168" s="122" t="e">
        <f t="shared" ref="BA168:BG168" si="99">SUM(BA53,BA136)</f>
        <v>#REF!</v>
      </c>
      <c r="BB168" s="122" t="e">
        <f t="shared" si="99"/>
        <v>#REF!</v>
      </c>
      <c r="BC168" s="122" t="e">
        <f t="shared" si="99"/>
        <v>#REF!</v>
      </c>
      <c r="BD168" s="122" t="e">
        <f t="shared" si="99"/>
        <v>#REF!</v>
      </c>
      <c r="BE168" s="123" t="e">
        <f t="shared" si="99"/>
        <v>#REF!</v>
      </c>
      <c r="BF168" s="121" t="e">
        <f t="shared" si="99"/>
        <v>#REF!</v>
      </c>
      <c r="BG168" s="122" t="e">
        <f t="shared" si="99"/>
        <v>#REF!</v>
      </c>
      <c r="BH168" s="122"/>
      <c r="BI168" s="123"/>
      <c r="BJ168" s="288" t="e">
        <f>BA168-AZ168</f>
        <v>#REF!</v>
      </c>
      <c r="BK168" s="515" t="e">
        <f t="shared" ref="BK168:BK175" si="100">BA168/AZ168</f>
        <v>#REF!</v>
      </c>
      <c r="BL168" s="408"/>
      <c r="BM168" s="516" t="e">
        <f>BM53+BM136</f>
        <v>#REF!</v>
      </c>
      <c r="BN168" s="122"/>
      <c r="BO168" s="409"/>
      <c r="BP168" s="448"/>
      <c r="BQ168" s="516"/>
      <c r="BR168" s="517"/>
      <c r="BS168" s="518"/>
      <c r="BT168" s="448"/>
      <c r="BU168" s="516"/>
      <c r="BV168" s="517"/>
      <c r="BW168" s="518"/>
      <c r="BX168" s="411" t="e">
        <f>BX53+BX136</f>
        <v>#REF!</v>
      </c>
      <c r="BY168" s="449" t="e">
        <f t="shared" ref="BY168:BY175" si="101">F168</f>
        <v>#REF!</v>
      </c>
      <c r="BZ168" s="209" t="e">
        <f>M168+BM168+BQ168+BU168</f>
        <v>#REF!</v>
      </c>
      <c r="CA168" s="516" t="e">
        <f t="shared" ref="CA168:CA175" si="102">BZ168-BY168</f>
        <v>#REF!</v>
      </c>
      <c r="CB168" s="515" t="e">
        <f t="shared" ref="CB168:CB175" si="103">BZ168/BY168</f>
        <v>#REF!</v>
      </c>
      <c r="CC168" s="444" t="e">
        <f t="shared" si="89"/>
        <v>#REF!</v>
      </c>
      <c r="CD168" s="415" t="e">
        <f>CD53+CD136</f>
        <v>#REF!</v>
      </c>
      <c r="CE168" s="122" t="e">
        <f>CE53+CE136</f>
        <v>#REF!</v>
      </c>
      <c r="CF168" s="519">
        <v>0</v>
      </c>
      <c r="CG168" s="450"/>
      <c r="CH168" s="450"/>
      <c r="CI168" s="450"/>
      <c r="CJ168" s="450"/>
      <c r="CK168" s="450"/>
      <c r="CL168" s="450"/>
      <c r="CM168" s="451"/>
      <c r="CN168" s="451"/>
      <c r="CO168" s="451"/>
      <c r="CP168" s="451"/>
      <c r="CQ168" s="451"/>
      <c r="CR168" s="451"/>
      <c r="CS168" s="451"/>
      <c r="CT168" s="451"/>
      <c r="CU168" s="451"/>
      <c r="CV168" s="451"/>
      <c r="CW168" s="451"/>
      <c r="CX168" s="451"/>
      <c r="CY168" s="451"/>
      <c r="CZ168" s="451"/>
      <c r="DA168" s="117" t="e">
        <f>DA53+DA136</f>
        <v>#REF!</v>
      </c>
      <c r="DB168" s="117" t="e">
        <f>DB53+DB136</f>
        <v>#REF!</v>
      </c>
      <c r="DC168" s="117">
        <f>SUM(DC53,DC136)</f>
        <v>39322.311900000001</v>
      </c>
      <c r="DD168" s="117">
        <f>SUM(DD53,DD136)</f>
        <v>37130.15797</v>
      </c>
      <c r="DE168" s="117">
        <f>SUM(DE53,DE136)</f>
        <v>41528.613749999997</v>
      </c>
      <c r="DF168" s="117" t="e">
        <f>SUM(DF53,DF136)</f>
        <v>#REF!</v>
      </c>
      <c r="DG168" s="117" t="e">
        <f>SUM(DG53,DG136)</f>
        <v>#REF!</v>
      </c>
      <c r="DI168" s="826"/>
      <c r="DJ168" s="788"/>
    </row>
    <row r="169" spans="1:114" s="783" customFormat="1" ht="12" customHeight="1">
      <c r="A169" s="208" t="s">
        <v>265</v>
      </c>
      <c r="B169" s="220" t="s">
        <v>342</v>
      </c>
      <c r="C169" s="833" t="s">
        <v>54</v>
      </c>
      <c r="D169" s="117">
        <f>SUM(D170,D236)</f>
        <v>8369.48</v>
      </c>
      <c r="E169" s="117">
        <f>SUM(E170,E236)</f>
        <v>8302.4900000000016</v>
      </c>
      <c r="F169" s="117">
        <f>SUM(F170,F236)</f>
        <v>7757.13</v>
      </c>
      <c r="G169" s="117">
        <f>SUM(G170,G236)</f>
        <v>7757.13</v>
      </c>
      <c r="H169" s="118" t="e">
        <f>H171+H179+H181+H182+#REF!+#REF!+H183+H184+H185+H191+#REF!+H199+H201+#REF!+H204+H207+#REF!+H208+H209+H211+#REF!+#REF!+#REF!+H212+H213+H214+#REF!+#REF!+H219+#REF!+#REF!+#REF!+H220+H222+#REF!+H224+#REF!+H235</f>
        <v>#REF!</v>
      </c>
      <c r="I169" s="118" t="e">
        <f>I171+I179+I181+I182+#REF!+#REF!+I183+I184+I185+I191+#REF!+I199+I201+#REF!+I204+I207+#REF!+I208+I209+I211+#REF!+#REF!+#REF!+I212+I213+I214+#REF!+#REF!+I219+#REF!+#REF!+#REF!+I220+I222+#REF!+I224+#REF!+I235</f>
        <v>#REF!</v>
      </c>
      <c r="J169" s="118" t="e">
        <f>J171+J179+J181+J182+#REF!+#REF!+J183+J184+J185+J191+#REF!+J199+J201+#REF!+J204+J207+#REF!+J208+J209+J211+#REF!+#REF!+#REF!+J212+J213+J214+#REF!+#REF!+J219+#REF!+#REF!+#REF!+J220+J222+#REF!+J224+#REF!+J235</f>
        <v>#REF!</v>
      </c>
      <c r="K169" s="118" t="e">
        <f>K171+K179+K181+K182+#REF!+#REF!+K183+K184+K185+K191+#REF!+K199+K201+#REF!+K204+K207+#REF!+K208+K209+K211+#REF!+#REF!+#REF!+K212+K213+K214+#REF!+#REF!+K219+#REF!+#REF!+#REF!+K220+K222+#REF!+K224+#REF!+K235</f>
        <v>#REF!</v>
      </c>
      <c r="L169" s="118" t="e">
        <f>L171+#REF!+L183+L201+L204+L209+#REF!+#REF!+#REF!+L213+L214+#REF!+L222+#REF!+L224</f>
        <v>#REF!</v>
      </c>
      <c r="M169" s="117" t="e">
        <f>M171+M179+M181+M182+#REF!+#REF!+M183+M184+M191+#REF!+M199+M201+#REF!+M204+M207+#REF!+M208+M211+#REF!+#REF!+#REF!+M212+M213+#REF!+M219+#REF!+#REF!+#REF!+M220+M222+#REF!+M224+#REF!+M235</f>
        <v>#REF!</v>
      </c>
      <c r="N169" s="117">
        <v>185.62</v>
      </c>
      <c r="O169" s="117">
        <v>160.43</v>
      </c>
      <c r="P169" s="117">
        <v>20.63</v>
      </c>
      <c r="Q169" s="117">
        <v>15.07</v>
      </c>
      <c r="R169" s="117">
        <v>136.47999999999999</v>
      </c>
      <c r="S169" s="117">
        <v>135.69999999999999</v>
      </c>
      <c r="T169" s="117">
        <f>T171</f>
        <v>99.396666666666675</v>
      </c>
      <c r="U169" s="117">
        <f>U171+U208</f>
        <v>112.16200000000001</v>
      </c>
      <c r="V169" s="117">
        <v>1.75</v>
      </c>
      <c r="W169" s="117"/>
      <c r="X169" s="209">
        <f t="shared" si="91"/>
        <v>-25.189999999999998</v>
      </c>
      <c r="Y169" s="210">
        <f t="shared" si="92"/>
        <v>0.86429264087921565</v>
      </c>
      <c r="Z169" s="118" t="e">
        <f>Z171+#REF!+Z183+Z201+Z204+Z209+#REF!+#REF!+#REF!+Z213+Z214+#REF!+Z222+#REF!+Z224</f>
        <v>#REF!</v>
      </c>
      <c r="AA169" s="117" t="e">
        <f>AA171+AA179+AA181+AA182+#REF!+#REF!+AA183+AA184+AA191+#REF!+AA199+AA201+#REF!+AA204+AA207+#REF!+AA208+AA211+#REF!+#REF!+#REF!+AA212+AA213+#REF!+AA219+#REF!+#REF!+#REF!+AA220+AA222+#REF!+AA224+#REF!+AA235</f>
        <v>#REF!</v>
      </c>
      <c r="AB169" s="117" t="e">
        <f>AB171+#REF!+AB183+AB201+AB204+AB209+#REF!+#REF!+#REF!+AB213+AB214+#REF!+AB222+#REF!+AB224</f>
        <v>#REF!</v>
      </c>
      <c r="AC169" s="117" t="e">
        <f>AC171+#REF!+AC183+AC201+AC204+AC208+AC222+#REF!+AC224</f>
        <v>#REF!</v>
      </c>
      <c r="AD169" s="117">
        <f>AD171</f>
        <v>37.08</v>
      </c>
      <c r="AE169" s="117">
        <f>AE171</f>
        <v>0</v>
      </c>
      <c r="AF169" s="117">
        <f>AF171</f>
        <v>99.4</v>
      </c>
      <c r="AG169" s="117">
        <f>AG171+AG208</f>
        <v>0</v>
      </c>
      <c r="AH169" s="117"/>
      <c r="AI169" s="117"/>
      <c r="AJ169" s="209" t="e">
        <f t="shared" si="94"/>
        <v>#REF!</v>
      </c>
      <c r="AK169" s="211" t="e">
        <f t="shared" si="95"/>
        <v>#REF!</v>
      </c>
      <c r="AL169" s="118" t="e">
        <f>AL171+#REF!+AL183+AL201+AL204+AL209+#REF!+#REF!+#REF!+AL213+AL214+#REF!+AL222+#REF!+AL224</f>
        <v>#REF!</v>
      </c>
      <c r="AM169" s="117" t="e">
        <f>AM171+AM179+AM181+AM182+#REF!+#REF!+AM183+AM184+AM191+#REF!+AM199+AM201+#REF!+AM204+AM207+#REF!+AM208+AM211+#REF!+#REF!+#REF!+AM212+AM213+#REF!+AM219+#REF!+#REF!+#REF!+AM220+AM222+#REF!+AM224+#REF!+AM235</f>
        <v>#REF!</v>
      </c>
      <c r="AN169" s="117" t="e">
        <f>AN171+#REF!+AN183+AN201+AN204+AN209+#REF!+#REF!+#REF!+AN213+AN214+#REF!+AN222+#REF!+AN224</f>
        <v>#REF!</v>
      </c>
      <c r="AO169" s="117" t="e">
        <f>AO171+#REF!+AO183+AO201+AO204+AO208+AO222+#REF!+AO224</f>
        <v>#REF!</v>
      </c>
      <c r="AP169" s="117">
        <f>AP171</f>
        <v>37.08</v>
      </c>
      <c r="AQ169" s="117">
        <f>AQ171</f>
        <v>0</v>
      </c>
      <c r="AR169" s="117">
        <f>AR171</f>
        <v>99.4</v>
      </c>
      <c r="AS169" s="117">
        <f>AS171+AS208</f>
        <v>0</v>
      </c>
      <c r="AT169" s="117"/>
      <c r="AU169" s="117"/>
      <c r="AV169" s="209" t="e">
        <f t="shared" si="97"/>
        <v>#REF!</v>
      </c>
      <c r="AW169" s="211" t="e">
        <f t="shared" si="98"/>
        <v>#REF!</v>
      </c>
      <c r="AX169" s="117">
        <f>G169/2</f>
        <v>3878.5650000000001</v>
      </c>
      <c r="AY169" s="117">
        <f>AY170+AY236</f>
        <v>8162.6709999999894</v>
      </c>
      <c r="AZ169" s="121" t="e">
        <f>SUM(AZ179:AZ235)+AZ171</f>
        <v>#REF!</v>
      </c>
      <c r="BA169" s="122">
        <f t="shared" ref="BA169:BG169" si="104">SUM(BA170,BA236)</f>
        <v>4817.1000000000004</v>
      </c>
      <c r="BB169" s="122">
        <f t="shared" si="104"/>
        <v>0</v>
      </c>
      <c r="BC169" s="122">
        <f t="shared" si="104"/>
        <v>2022.6654999999901</v>
      </c>
      <c r="BD169" s="122">
        <f t="shared" si="104"/>
        <v>0</v>
      </c>
      <c r="BE169" s="123">
        <f t="shared" si="104"/>
        <v>290.77999999999997</v>
      </c>
      <c r="BF169" s="121">
        <f t="shared" si="104"/>
        <v>593.34055999999998</v>
      </c>
      <c r="BG169" s="122">
        <f t="shared" si="104"/>
        <v>435.76208000000003</v>
      </c>
      <c r="BH169" s="122"/>
      <c r="BI169" s="123"/>
      <c r="BJ169" s="288" t="e">
        <f>BA169-AZ169</f>
        <v>#REF!</v>
      </c>
      <c r="BK169" s="515" t="e">
        <f t="shared" si="100"/>
        <v>#REF!</v>
      </c>
      <c r="BL169" s="528"/>
      <c r="BM169" s="121" t="e">
        <f>SUM(BM179:BM235)+BM171</f>
        <v>#REF!</v>
      </c>
      <c r="BN169" s="122"/>
      <c r="BO169" s="409"/>
      <c r="BP169" s="448"/>
      <c r="BQ169" s="516"/>
      <c r="BR169" s="517"/>
      <c r="BS169" s="518"/>
      <c r="BT169" s="448"/>
      <c r="BU169" s="516"/>
      <c r="BV169" s="517"/>
      <c r="BW169" s="518"/>
      <c r="BX169" s="411">
        <v>3630.11</v>
      </c>
      <c r="BY169" s="449">
        <f t="shared" si="101"/>
        <v>7757.13</v>
      </c>
      <c r="BZ169" s="209" t="e">
        <f>M169+BM169+BQ169+BU169</f>
        <v>#REF!</v>
      </c>
      <c r="CA169" s="516" t="e">
        <f t="shared" si="102"/>
        <v>#REF!</v>
      </c>
      <c r="CB169" s="515" t="e">
        <f t="shared" si="103"/>
        <v>#REF!</v>
      </c>
      <c r="CC169" s="444" t="e">
        <f t="shared" si="89"/>
        <v>#REF!</v>
      </c>
      <c r="CD169" s="529" t="e">
        <f>SUM(CD179:CD235)+CD171</f>
        <v>#REF!</v>
      </c>
      <c r="CE169" s="289">
        <v>521.01</v>
      </c>
      <c r="CF169" s="519">
        <v>0</v>
      </c>
      <c r="CG169" s="450"/>
      <c r="CH169" s="450"/>
      <c r="CI169" s="450"/>
      <c r="CJ169" s="450"/>
      <c r="CK169" s="450"/>
      <c r="CL169" s="450"/>
      <c r="CM169" s="451"/>
      <c r="CN169" s="451"/>
      <c r="CO169" s="451"/>
      <c r="CP169" s="451"/>
      <c r="CQ169" s="451"/>
      <c r="CR169" s="451"/>
      <c r="CS169" s="451"/>
      <c r="CT169" s="451"/>
      <c r="CU169" s="451"/>
      <c r="CV169" s="451"/>
      <c r="CW169" s="451"/>
      <c r="CX169" s="451"/>
      <c r="CY169" s="451"/>
      <c r="CZ169" s="451"/>
      <c r="DA169" s="117">
        <f>DA170+DA236</f>
        <v>8302.48999</v>
      </c>
      <c r="DB169" s="117">
        <f>DB170+DB236</f>
        <v>7757.1299899999995</v>
      </c>
      <c r="DC169" s="117">
        <f>SUM(DC170,DC236)</f>
        <v>10152.360120000001</v>
      </c>
      <c r="DD169" s="117">
        <f>SUM(DD170,DD236)</f>
        <v>9694.42</v>
      </c>
      <c r="DE169" s="117">
        <f>SUM(DE170,DE236)</f>
        <v>10152.360120000001</v>
      </c>
      <c r="DF169" s="117">
        <f>SUM(DF170,DF236)</f>
        <v>4590.6130599999997</v>
      </c>
      <c r="DG169" s="117">
        <f>SUM(DG170,DG236)</f>
        <v>4187.0867850000004</v>
      </c>
      <c r="DI169" s="826"/>
      <c r="DJ169" s="788"/>
    </row>
    <row r="170" spans="1:114" s="783" customFormat="1">
      <c r="A170" s="221" t="s">
        <v>266</v>
      </c>
      <c r="B170" s="222" t="s">
        <v>160</v>
      </c>
      <c r="C170" s="841" t="s">
        <v>54</v>
      </c>
      <c r="D170" s="224">
        <f>SUM(D171,D176,D180,D234)</f>
        <v>5808.6799999999994</v>
      </c>
      <c r="E170" s="224">
        <f>SUM(E171,E176,E180,E234)</f>
        <v>5945.6100000000006</v>
      </c>
      <c r="F170" s="224">
        <f>SUM(F171,F176,F180,F234)</f>
        <v>5400.25</v>
      </c>
      <c r="G170" s="224">
        <f>SUM(G171,G176,G180,G234)</f>
        <v>5400.25</v>
      </c>
      <c r="H170" s="225"/>
      <c r="I170" s="225"/>
      <c r="J170" s="225"/>
      <c r="K170" s="225"/>
      <c r="L170" s="225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6"/>
      <c r="Y170" s="227"/>
      <c r="Z170" s="225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6"/>
      <c r="AK170" s="228"/>
      <c r="AL170" s="225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6"/>
      <c r="AW170" s="228"/>
      <c r="AX170" s="224"/>
      <c r="AY170" s="224">
        <f>SUM(AY171,AY176,AY180,AY234,AY230)</f>
        <v>5851.610999999989</v>
      </c>
      <c r="AZ170" s="229"/>
      <c r="BA170" s="230">
        <f t="shared" ref="BA170:BG170" si="105">SUM(BA171,BA176,BA180,BA234)</f>
        <v>3361.01</v>
      </c>
      <c r="BB170" s="230">
        <f t="shared" si="105"/>
        <v>0</v>
      </c>
      <c r="BC170" s="230">
        <f t="shared" si="105"/>
        <v>1430.9949999999901</v>
      </c>
      <c r="BD170" s="230">
        <f t="shared" si="105"/>
        <v>0</v>
      </c>
      <c r="BE170" s="231">
        <f t="shared" si="105"/>
        <v>126.32999999999998</v>
      </c>
      <c r="BF170" s="229">
        <f t="shared" si="105"/>
        <v>373.72055999999998</v>
      </c>
      <c r="BG170" s="230">
        <f t="shared" si="105"/>
        <v>395.75458000000003</v>
      </c>
      <c r="BH170" s="230"/>
      <c r="BI170" s="231"/>
      <c r="BJ170" s="530"/>
      <c r="BK170" s="531"/>
      <c r="BL170" s="532"/>
      <c r="BM170" s="229"/>
      <c r="BN170" s="230"/>
      <c r="BO170" s="533"/>
      <c r="BP170" s="534"/>
      <c r="BQ170" s="535"/>
      <c r="BR170" s="536"/>
      <c r="BS170" s="537"/>
      <c r="BT170" s="534"/>
      <c r="BU170" s="535"/>
      <c r="BV170" s="536"/>
      <c r="BW170" s="537"/>
      <c r="BX170" s="538"/>
      <c r="BY170" s="539"/>
      <c r="BZ170" s="226"/>
      <c r="CA170" s="535"/>
      <c r="CB170" s="531"/>
      <c r="CC170" s="293"/>
      <c r="CD170" s="540"/>
      <c r="CE170" s="541"/>
      <c r="CF170" s="542"/>
      <c r="CG170" s="543"/>
      <c r="CH170" s="543"/>
      <c r="CI170" s="543"/>
      <c r="CJ170" s="543"/>
      <c r="CK170" s="543"/>
      <c r="CL170" s="543"/>
      <c r="CM170" s="544"/>
      <c r="CN170" s="544"/>
      <c r="CO170" s="544"/>
      <c r="CP170" s="544"/>
      <c r="CQ170" s="544"/>
      <c r="CR170" s="544"/>
      <c r="CS170" s="544"/>
      <c r="CT170" s="544"/>
      <c r="CU170" s="544"/>
      <c r="CV170" s="544"/>
      <c r="CW170" s="544"/>
      <c r="CX170" s="544"/>
      <c r="CY170" s="544"/>
      <c r="CZ170" s="544"/>
      <c r="DA170" s="224">
        <f>SUM(DA171,DA176,DA180,DA234)</f>
        <v>5945.6149099999993</v>
      </c>
      <c r="DB170" s="224">
        <f>SUM(DB171,DB176,DB180,DB234)</f>
        <v>5400.2549099999997</v>
      </c>
      <c r="DC170" s="224">
        <f>SUM(DC171,DC176,DC180,DC234,DC230)</f>
        <v>7042.7464300000001</v>
      </c>
      <c r="DD170" s="224">
        <f>SUM(DD171,DD176,DD180,DD234,DD230)</f>
        <v>6815.39</v>
      </c>
      <c r="DE170" s="224">
        <f>SUM(DE171,DE176,DE180,DE234,DE230)</f>
        <v>7042.7464300000001</v>
      </c>
      <c r="DF170" s="224">
        <f>SUM(DF171,DF176,DF180,DF234,DF230)</f>
        <v>3307.9827150000001</v>
      </c>
      <c r="DG170" s="224">
        <f>SUM(DG171,DG176,DG180,DG234,DG230)</f>
        <v>2904.4664400000001</v>
      </c>
      <c r="DI170" s="826"/>
      <c r="DJ170" s="788"/>
    </row>
    <row r="171" spans="1:114" s="783" customFormat="1">
      <c r="A171" s="232" t="s">
        <v>267</v>
      </c>
      <c r="B171" s="166" t="s">
        <v>2</v>
      </c>
      <c r="C171" s="834" t="s">
        <v>54</v>
      </c>
      <c r="D171" s="233">
        <f>SUM(D172,D175)</f>
        <v>4189.8999999999996</v>
      </c>
      <c r="E171" s="233">
        <f>SUM(E172,E175)</f>
        <v>4327.1499999999996</v>
      </c>
      <c r="F171" s="233">
        <f>SUM(F172,F175)</f>
        <v>4327.1499999999996</v>
      </c>
      <c r="G171" s="233">
        <f>SUM(G172,G175)</f>
        <v>4327.1499999999996</v>
      </c>
      <c r="H171" s="234">
        <f t="shared" ref="H171:U171" si="106">H172+H175</f>
        <v>1857.17</v>
      </c>
      <c r="I171" s="234">
        <f t="shared" si="106"/>
        <v>1637.76</v>
      </c>
      <c r="J171" s="234">
        <f t="shared" si="106"/>
        <v>445</v>
      </c>
      <c r="K171" s="234">
        <f t="shared" si="106"/>
        <v>1192.76</v>
      </c>
      <c r="L171" s="235">
        <f t="shared" si="106"/>
        <v>360.5958333333333</v>
      </c>
      <c r="M171" s="235">
        <f t="shared" si="106"/>
        <v>255.40628000000001</v>
      </c>
      <c r="N171" s="235">
        <f t="shared" si="106"/>
        <v>154.76416666666668</v>
      </c>
      <c r="O171" s="235">
        <f t="shared" si="106"/>
        <v>135.71440000000001</v>
      </c>
      <c r="P171" s="235"/>
      <c r="Q171" s="235"/>
      <c r="R171" s="235">
        <v>136.47999999999999</v>
      </c>
      <c r="S171" s="235">
        <f t="shared" si="106"/>
        <v>32.532000000000004</v>
      </c>
      <c r="T171" s="235">
        <f t="shared" si="106"/>
        <v>99.396666666666675</v>
      </c>
      <c r="U171" s="235">
        <f t="shared" si="106"/>
        <v>87.162000000000006</v>
      </c>
      <c r="V171" s="235"/>
      <c r="W171" s="235"/>
      <c r="X171" s="235">
        <f t="shared" si="91"/>
        <v>-19.04976666666667</v>
      </c>
      <c r="Y171" s="236">
        <f t="shared" si="92"/>
        <v>0.87691099899309166</v>
      </c>
      <c r="Z171" s="235">
        <f t="shared" ref="Z171:AG171" si="107">Z172+Z175</f>
        <v>291.25</v>
      </c>
      <c r="AA171" s="235">
        <f t="shared" si="107"/>
        <v>338.21</v>
      </c>
      <c r="AB171" s="235">
        <f t="shared" si="107"/>
        <v>154.77000000000001</v>
      </c>
      <c r="AC171" s="235">
        <f t="shared" si="107"/>
        <v>0</v>
      </c>
      <c r="AD171" s="235">
        <f t="shared" si="107"/>
        <v>37.08</v>
      </c>
      <c r="AE171" s="235">
        <f t="shared" si="107"/>
        <v>0</v>
      </c>
      <c r="AF171" s="235">
        <f t="shared" si="107"/>
        <v>99.4</v>
      </c>
      <c r="AG171" s="235">
        <f t="shared" si="107"/>
        <v>0</v>
      </c>
      <c r="AH171" s="235"/>
      <c r="AI171" s="235"/>
      <c r="AJ171" s="235">
        <f t="shared" si="94"/>
        <v>-154.77000000000001</v>
      </c>
      <c r="AK171" s="237">
        <f t="shared" si="95"/>
        <v>0</v>
      </c>
      <c r="AL171" s="235">
        <f t="shared" ref="AL171:AS171" si="108">AL172+AL175</f>
        <v>291.25</v>
      </c>
      <c r="AM171" s="235">
        <f t="shared" si="108"/>
        <v>338.21</v>
      </c>
      <c r="AN171" s="235">
        <f t="shared" si="108"/>
        <v>154.77000000000001</v>
      </c>
      <c r="AO171" s="235">
        <f t="shared" si="108"/>
        <v>0</v>
      </c>
      <c r="AP171" s="235">
        <f t="shared" si="108"/>
        <v>37.08</v>
      </c>
      <c r="AQ171" s="235">
        <f t="shared" si="108"/>
        <v>0</v>
      </c>
      <c r="AR171" s="235">
        <f t="shared" si="108"/>
        <v>99.4</v>
      </c>
      <c r="AS171" s="235">
        <f t="shared" si="108"/>
        <v>0</v>
      </c>
      <c r="AT171" s="235"/>
      <c r="AU171" s="235"/>
      <c r="AV171" s="235">
        <f t="shared" si="97"/>
        <v>-154.77000000000001</v>
      </c>
      <c r="AW171" s="237">
        <f t="shared" si="98"/>
        <v>0</v>
      </c>
      <c r="AX171" s="101">
        <f>G171/2</f>
        <v>2163.5749999999998</v>
      </c>
      <c r="AY171" s="101">
        <f>SUM(AY172,AY175)</f>
        <v>4327.1499999999996</v>
      </c>
      <c r="AZ171" s="238">
        <f t="shared" ref="AZ171:BE171" si="109">AZ172+AZ175</f>
        <v>0</v>
      </c>
      <c r="BA171" s="239">
        <f>BA172+BA175</f>
        <v>2793.38</v>
      </c>
      <c r="BB171" s="239">
        <f t="shared" si="109"/>
        <v>0</v>
      </c>
      <c r="BC171" s="239">
        <f t="shared" si="109"/>
        <v>1164.0240000000001</v>
      </c>
      <c r="BD171" s="239">
        <f t="shared" si="109"/>
        <v>0</v>
      </c>
      <c r="BE171" s="240">
        <f t="shared" si="109"/>
        <v>71.22</v>
      </c>
      <c r="BF171" s="238">
        <f>BF172+BF175</f>
        <v>367.54055999999997</v>
      </c>
      <c r="BG171" s="239">
        <f>BG172+BG175</f>
        <v>313.81458000000003</v>
      </c>
      <c r="BH171" s="239"/>
      <c r="BI171" s="240"/>
      <c r="BJ171" s="417">
        <f t="shared" ref="BJ171:BJ185" si="110">BA171-AZ171</f>
        <v>2793.38</v>
      </c>
      <c r="BK171" s="545" t="e">
        <f t="shared" si="100"/>
        <v>#DIV/0!</v>
      </c>
      <c r="BL171" s="546"/>
      <c r="BM171" s="238">
        <f>BM172+BM175</f>
        <v>338.21595000000002</v>
      </c>
      <c r="BN171" s="239"/>
      <c r="BO171" s="455"/>
      <c r="BP171" s="547"/>
      <c r="BQ171" s="548"/>
      <c r="BR171" s="549"/>
      <c r="BS171" s="550"/>
      <c r="BT171" s="547"/>
      <c r="BU171" s="548"/>
      <c r="BV171" s="549"/>
      <c r="BW171" s="550"/>
      <c r="BX171" s="551">
        <f>BX172</f>
        <v>2753.37</v>
      </c>
      <c r="BY171" s="552">
        <f t="shared" si="101"/>
        <v>4327.1499999999996</v>
      </c>
      <c r="BZ171" s="553">
        <f>M171+BM171+BQ171+BU171</f>
        <v>593.62223000000006</v>
      </c>
      <c r="CA171" s="548">
        <f t="shared" si="102"/>
        <v>-3733.5277699999997</v>
      </c>
      <c r="CB171" s="554">
        <f t="shared" si="103"/>
        <v>0.13718549853829889</v>
      </c>
      <c r="CC171" s="309">
        <f t="shared" si="89"/>
        <v>-3733.5277699999997</v>
      </c>
      <c r="CD171" s="555">
        <f>CD172+CD175</f>
        <v>72.612229999999997</v>
      </c>
      <c r="CE171" s="556">
        <f>CE172+CE175</f>
        <v>521.01</v>
      </c>
      <c r="CF171" s="557"/>
      <c r="CG171" s="558"/>
      <c r="CH171" s="558"/>
      <c r="CI171" s="558"/>
      <c r="CJ171" s="558"/>
      <c r="CK171" s="558"/>
      <c r="CL171" s="558"/>
      <c r="CM171" s="559"/>
      <c r="CN171" s="559"/>
      <c r="CO171" s="559"/>
      <c r="CP171" s="559"/>
      <c r="CQ171" s="559"/>
      <c r="CR171" s="559"/>
      <c r="CS171" s="559"/>
      <c r="CT171" s="559"/>
      <c r="CU171" s="559"/>
      <c r="CV171" s="559"/>
      <c r="CW171" s="559"/>
      <c r="CX171" s="559"/>
      <c r="CY171" s="559"/>
      <c r="CZ171" s="559"/>
      <c r="DA171" s="101">
        <f t="shared" ref="DA171:DG171" si="111">SUM(DA172,DA175)</f>
        <v>4327.1549099999993</v>
      </c>
      <c r="DB171" s="101">
        <f t="shared" si="111"/>
        <v>4327.1549099999993</v>
      </c>
      <c r="DC171" s="233">
        <f t="shared" si="111"/>
        <v>5560.9564300000002</v>
      </c>
      <c r="DD171" s="233">
        <f t="shared" si="111"/>
        <v>5069.1900000000005</v>
      </c>
      <c r="DE171" s="233">
        <f t="shared" si="111"/>
        <v>5560.9564300000002</v>
      </c>
      <c r="DF171" s="233">
        <f t="shared" si="111"/>
        <v>2567.0877150000001</v>
      </c>
      <c r="DG171" s="233">
        <f t="shared" si="111"/>
        <v>2163.5714400000002</v>
      </c>
      <c r="DI171" s="826"/>
      <c r="DJ171" s="788"/>
    </row>
    <row r="172" spans="1:114" s="783" customFormat="1">
      <c r="A172" s="177"/>
      <c r="B172" s="187" t="s">
        <v>3</v>
      </c>
      <c r="C172" s="837" t="s">
        <v>54</v>
      </c>
      <c r="D172" s="31">
        <v>3482.88</v>
      </c>
      <c r="E172" s="31">
        <v>3596.97</v>
      </c>
      <c r="F172" s="31">
        <v>3596.97</v>
      </c>
      <c r="G172" s="31">
        <v>3596.97</v>
      </c>
      <c r="H172" s="134">
        <v>1549.42</v>
      </c>
      <c r="I172" s="134">
        <v>1355.76</v>
      </c>
      <c r="J172" s="134">
        <v>371.68</v>
      </c>
      <c r="K172" s="134">
        <v>984.08</v>
      </c>
      <c r="L172" s="134">
        <f>G172/12</f>
        <v>299.7475</v>
      </c>
      <c r="M172" s="134">
        <v>212.30778000000001</v>
      </c>
      <c r="N172" s="134">
        <f>H172/12</f>
        <v>129.11833333333334</v>
      </c>
      <c r="O172" s="134">
        <v>113.22490000000001</v>
      </c>
      <c r="P172" s="134"/>
      <c r="Q172" s="134"/>
      <c r="R172" s="134">
        <v>112.98</v>
      </c>
      <c r="S172" s="134">
        <v>27.175000000000001</v>
      </c>
      <c r="T172" s="134">
        <f>K172/12</f>
        <v>82.006666666666675</v>
      </c>
      <c r="U172" s="134">
        <v>71.909000000000006</v>
      </c>
      <c r="V172" s="134"/>
      <c r="W172" s="134"/>
      <c r="X172" s="134">
        <f t="shared" si="91"/>
        <v>-15.893433333333334</v>
      </c>
      <c r="Y172" s="134">
        <f t="shared" si="92"/>
        <v>0.87690800428547455</v>
      </c>
      <c r="Z172" s="134">
        <v>242.1</v>
      </c>
      <c r="AA172" s="134">
        <v>281.14</v>
      </c>
      <c r="AB172" s="134">
        <v>129.12</v>
      </c>
      <c r="AC172" s="134"/>
      <c r="AD172" s="134">
        <v>30.97</v>
      </c>
      <c r="AE172" s="134"/>
      <c r="AF172" s="134">
        <v>82.01</v>
      </c>
      <c r="AG172" s="134"/>
      <c r="AH172" s="134"/>
      <c r="AI172" s="134"/>
      <c r="AJ172" s="134">
        <f t="shared" si="94"/>
        <v>-129.12</v>
      </c>
      <c r="AK172" s="241">
        <f t="shared" si="95"/>
        <v>0</v>
      </c>
      <c r="AL172" s="134">
        <v>242.1</v>
      </c>
      <c r="AM172" s="134">
        <v>281.14</v>
      </c>
      <c r="AN172" s="134">
        <v>129.12</v>
      </c>
      <c r="AO172" s="134"/>
      <c r="AP172" s="134">
        <v>30.97</v>
      </c>
      <c r="AQ172" s="134"/>
      <c r="AR172" s="134">
        <v>82.01</v>
      </c>
      <c r="AS172" s="134"/>
      <c r="AT172" s="134"/>
      <c r="AU172" s="134"/>
      <c r="AV172" s="134">
        <f t="shared" si="97"/>
        <v>-129.12</v>
      </c>
      <c r="AW172" s="241">
        <f t="shared" si="98"/>
        <v>0</v>
      </c>
      <c r="AX172" s="31">
        <f>G172/2</f>
        <v>1798.4849999999999</v>
      </c>
      <c r="AY172" s="31">
        <v>3596.97</v>
      </c>
      <c r="AZ172" s="109"/>
      <c r="BA172" s="62">
        <v>2319.33</v>
      </c>
      <c r="BB172" s="62"/>
      <c r="BC172" s="62">
        <v>967.60400000000004</v>
      </c>
      <c r="BD172" s="62"/>
      <c r="BE172" s="110">
        <v>59.2</v>
      </c>
      <c r="BF172" s="109">
        <v>305.52</v>
      </c>
      <c r="BG172" s="62">
        <v>260.86</v>
      </c>
      <c r="BH172" s="62"/>
      <c r="BI172" s="110"/>
      <c r="BJ172" s="426">
        <f t="shared" si="110"/>
        <v>2319.33</v>
      </c>
      <c r="BK172" s="427" t="e">
        <f t="shared" si="100"/>
        <v>#DIV/0!</v>
      </c>
      <c r="BL172" s="560"/>
      <c r="BM172" s="109">
        <v>281.14377000000002</v>
      </c>
      <c r="BN172" s="62"/>
      <c r="BO172" s="470"/>
      <c r="BP172" s="64"/>
      <c r="BQ172" s="61"/>
      <c r="BR172" s="479"/>
      <c r="BS172" s="66"/>
      <c r="BT172" s="64"/>
      <c r="BU172" s="61"/>
      <c r="BV172" s="479"/>
      <c r="BW172" s="66"/>
      <c r="BX172" s="431">
        <v>2753.37</v>
      </c>
      <c r="BY172" s="68">
        <f t="shared" si="101"/>
        <v>3596.97</v>
      </c>
      <c r="BZ172" s="69">
        <f>M172+BM172+BQ172+BU172</f>
        <v>493.45155</v>
      </c>
      <c r="CA172" s="61">
        <f t="shared" si="102"/>
        <v>-3103.5184499999996</v>
      </c>
      <c r="CB172" s="71">
        <f t="shared" si="103"/>
        <v>0.13718533932726712</v>
      </c>
      <c r="CC172" s="72">
        <f t="shared" si="89"/>
        <v>-3103.5184499999996</v>
      </c>
      <c r="CD172" s="434">
        <f>BZ172-CE172</f>
        <v>59.951549999999997</v>
      </c>
      <c r="CE172" s="561">
        <v>433.5</v>
      </c>
      <c r="CF172" s="73"/>
      <c r="CG172" s="74"/>
      <c r="CH172" s="74"/>
      <c r="CI172" s="74"/>
      <c r="CJ172" s="74"/>
      <c r="CK172" s="74"/>
      <c r="CL172" s="74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31">
        <v>3596.97</v>
      </c>
      <c r="DB172" s="31">
        <v>3596.97</v>
      </c>
      <c r="DC172" s="31">
        <v>4267.8100000000004</v>
      </c>
      <c r="DD172" s="31">
        <v>4074.65</v>
      </c>
      <c r="DE172" s="31">
        <v>4267.8100000000004</v>
      </c>
      <c r="DF172" s="31">
        <f>DE172/2</f>
        <v>2133.9050000000002</v>
      </c>
      <c r="DG172" s="134">
        <v>1798.48</v>
      </c>
      <c r="DI172" s="826"/>
      <c r="DJ172" s="788"/>
    </row>
    <row r="173" spans="1:114" s="783" customFormat="1">
      <c r="A173" s="177"/>
      <c r="B173" s="212" t="s">
        <v>38</v>
      </c>
      <c r="C173" s="839" t="s">
        <v>82</v>
      </c>
      <c r="D173" s="105">
        <v>9.5</v>
      </c>
      <c r="E173" s="105">
        <v>9.5</v>
      </c>
      <c r="F173" s="105">
        <v>9.5</v>
      </c>
      <c r="G173" s="105">
        <v>9.5</v>
      </c>
      <c r="H173" s="242">
        <v>4</v>
      </c>
      <c r="I173" s="242">
        <v>4</v>
      </c>
      <c r="J173" s="242">
        <v>1</v>
      </c>
      <c r="K173" s="242">
        <v>3</v>
      </c>
      <c r="L173" s="242">
        <v>8</v>
      </c>
      <c r="M173" s="243">
        <v>6</v>
      </c>
      <c r="N173" s="134">
        <v>4</v>
      </c>
      <c r="O173" s="134">
        <v>3</v>
      </c>
      <c r="P173" s="134"/>
      <c r="Q173" s="134"/>
      <c r="R173" s="134">
        <v>1</v>
      </c>
      <c r="S173" s="134">
        <v>1</v>
      </c>
      <c r="T173" s="134">
        <v>3</v>
      </c>
      <c r="U173" s="134">
        <v>3</v>
      </c>
      <c r="V173" s="134"/>
      <c r="W173" s="134"/>
      <c r="X173" s="134">
        <f t="shared" si="91"/>
        <v>-1</v>
      </c>
      <c r="Y173" s="155">
        <f t="shared" si="92"/>
        <v>0.75</v>
      </c>
      <c r="Z173" s="242">
        <v>8</v>
      </c>
      <c r="AA173" s="243">
        <v>7</v>
      </c>
      <c r="AB173" s="134">
        <v>4</v>
      </c>
      <c r="AC173" s="134"/>
      <c r="AD173" s="134">
        <v>1</v>
      </c>
      <c r="AE173" s="134"/>
      <c r="AF173" s="134">
        <v>3</v>
      </c>
      <c r="AG173" s="134"/>
      <c r="AH173" s="134"/>
      <c r="AI173" s="134"/>
      <c r="AJ173" s="134">
        <f t="shared" si="94"/>
        <v>-4</v>
      </c>
      <c r="AK173" s="156">
        <f t="shared" si="95"/>
        <v>0</v>
      </c>
      <c r="AL173" s="242">
        <v>8</v>
      </c>
      <c r="AM173" s="243">
        <v>7</v>
      </c>
      <c r="AN173" s="134">
        <v>4</v>
      </c>
      <c r="AO173" s="134"/>
      <c r="AP173" s="134">
        <v>1</v>
      </c>
      <c r="AQ173" s="134"/>
      <c r="AR173" s="134">
        <v>3</v>
      </c>
      <c r="AS173" s="134"/>
      <c r="AT173" s="134"/>
      <c r="AU173" s="134"/>
      <c r="AV173" s="134">
        <f t="shared" si="97"/>
        <v>-4</v>
      </c>
      <c r="AW173" s="156">
        <f t="shared" si="98"/>
        <v>0</v>
      </c>
      <c r="AX173" s="31">
        <v>8</v>
      </c>
      <c r="AY173" s="244">
        <v>9</v>
      </c>
      <c r="AZ173" s="109"/>
      <c r="BA173" s="62"/>
      <c r="BB173" s="62"/>
      <c r="BC173" s="62"/>
      <c r="BD173" s="62"/>
      <c r="BE173" s="110"/>
      <c r="BF173" s="109"/>
      <c r="BG173" s="62"/>
      <c r="BH173" s="62" t="s">
        <v>189</v>
      </c>
      <c r="BI173" s="110"/>
      <c r="BJ173" s="426">
        <f t="shared" si="110"/>
        <v>0</v>
      </c>
      <c r="BK173" s="427" t="e">
        <f t="shared" si="100"/>
        <v>#DIV/0!</v>
      </c>
      <c r="BL173" s="560"/>
      <c r="BM173" s="109"/>
      <c r="BN173" s="62"/>
      <c r="BO173" s="470"/>
      <c r="BP173" s="64"/>
      <c r="BQ173" s="61"/>
      <c r="BR173" s="521"/>
      <c r="BS173" s="66"/>
      <c r="BT173" s="64"/>
      <c r="BU173" s="61"/>
      <c r="BV173" s="479"/>
      <c r="BW173" s="66"/>
      <c r="BX173" s="522">
        <v>7</v>
      </c>
      <c r="BY173" s="68">
        <f t="shared" si="101"/>
        <v>9.5</v>
      </c>
      <c r="BZ173" s="69">
        <f>(M173+BM173+BQ173+BU173)/4</f>
        <v>1.5</v>
      </c>
      <c r="CA173" s="61">
        <f t="shared" si="102"/>
        <v>-8</v>
      </c>
      <c r="CB173" s="71">
        <f t="shared" si="103"/>
        <v>0.15789473684210525</v>
      </c>
      <c r="CC173" s="72">
        <f t="shared" si="89"/>
        <v>-8</v>
      </c>
      <c r="CD173" s="562">
        <v>5</v>
      </c>
      <c r="CE173" s="561">
        <v>1.5</v>
      </c>
      <c r="CF173" s="73"/>
      <c r="CG173" s="525"/>
      <c r="CH173" s="525"/>
      <c r="CI173" s="525"/>
      <c r="CJ173" s="525"/>
      <c r="CK173" s="525"/>
      <c r="CL173" s="525"/>
      <c r="CM173" s="526"/>
      <c r="CN173" s="526"/>
      <c r="CO173" s="526"/>
      <c r="CP173" s="526"/>
      <c r="CQ173" s="526"/>
      <c r="CR173" s="526"/>
      <c r="CS173" s="526"/>
      <c r="CT173" s="526"/>
      <c r="CU173" s="526"/>
      <c r="CV173" s="526"/>
      <c r="CW173" s="526"/>
      <c r="CX173" s="526"/>
      <c r="CY173" s="526"/>
      <c r="CZ173" s="526"/>
      <c r="DA173" s="244">
        <v>9.5</v>
      </c>
      <c r="DB173" s="244">
        <v>9.5</v>
      </c>
      <c r="DC173" s="105">
        <v>9.5</v>
      </c>
      <c r="DD173" s="105">
        <v>9.5</v>
      </c>
      <c r="DE173" s="105">
        <v>9.5</v>
      </c>
      <c r="DF173" s="105">
        <v>9.5</v>
      </c>
      <c r="DG173" s="105">
        <v>9.5</v>
      </c>
      <c r="DI173" s="826"/>
      <c r="DJ173" s="788"/>
    </row>
    <row r="174" spans="1:114" s="783" customFormat="1">
      <c r="A174" s="177"/>
      <c r="B174" s="212" t="s">
        <v>39</v>
      </c>
      <c r="C174" s="839" t="s">
        <v>83</v>
      </c>
      <c r="D174" s="31">
        <f t="shared" ref="D174:K174" si="112">D172/D173/12*1000</f>
        <v>30551.578947368424</v>
      </c>
      <c r="E174" s="31">
        <f t="shared" si="112"/>
        <v>31552.36842105263</v>
      </c>
      <c r="F174" s="31">
        <f t="shared" si="112"/>
        <v>31552.36842105263</v>
      </c>
      <c r="G174" s="31">
        <f t="shared" si="112"/>
        <v>31552.36842105263</v>
      </c>
      <c r="H174" s="134">
        <f t="shared" si="112"/>
        <v>32279.583333333336</v>
      </c>
      <c r="I174" s="134">
        <f t="shared" si="112"/>
        <v>28245</v>
      </c>
      <c r="J174" s="134">
        <f t="shared" si="112"/>
        <v>30973.333333333332</v>
      </c>
      <c r="K174" s="134">
        <f t="shared" si="112"/>
        <v>27335.555555555558</v>
      </c>
      <c r="L174" s="134">
        <f t="shared" ref="L174:U174" si="113">L172/L173*1000</f>
        <v>37468.4375</v>
      </c>
      <c r="M174" s="134">
        <f t="shared" si="113"/>
        <v>35384.630000000005</v>
      </c>
      <c r="N174" s="134">
        <f t="shared" si="113"/>
        <v>32279.583333333336</v>
      </c>
      <c r="O174" s="134">
        <f t="shared" si="113"/>
        <v>37741.633333333331</v>
      </c>
      <c r="P174" s="134"/>
      <c r="Q174" s="134"/>
      <c r="R174" s="134">
        <f t="shared" si="113"/>
        <v>112980</v>
      </c>
      <c r="S174" s="134">
        <f t="shared" si="113"/>
        <v>27175</v>
      </c>
      <c r="T174" s="134">
        <f t="shared" si="113"/>
        <v>27335.555555555558</v>
      </c>
      <c r="U174" s="134">
        <f t="shared" si="113"/>
        <v>23969.666666666668</v>
      </c>
      <c r="V174" s="134"/>
      <c r="W174" s="134"/>
      <c r="X174" s="134">
        <f t="shared" si="91"/>
        <v>5462.0499999999956</v>
      </c>
      <c r="Y174" s="155">
        <f t="shared" si="92"/>
        <v>1.1692106723806326</v>
      </c>
      <c r="Z174" s="134">
        <f t="shared" ref="Z174:AG174" si="114">Z172/Z173*1000</f>
        <v>30262.5</v>
      </c>
      <c r="AA174" s="134">
        <f t="shared" si="114"/>
        <v>40162.857142857145</v>
      </c>
      <c r="AB174" s="134">
        <f t="shared" si="114"/>
        <v>32280</v>
      </c>
      <c r="AC174" s="134" t="e">
        <f t="shared" si="114"/>
        <v>#DIV/0!</v>
      </c>
      <c r="AD174" s="134">
        <f t="shared" si="114"/>
        <v>30970</v>
      </c>
      <c r="AE174" s="134" t="e">
        <f t="shared" si="114"/>
        <v>#DIV/0!</v>
      </c>
      <c r="AF174" s="134">
        <f t="shared" si="114"/>
        <v>27336.666666666668</v>
      </c>
      <c r="AG174" s="134" t="e">
        <f t="shared" si="114"/>
        <v>#DIV/0!</v>
      </c>
      <c r="AH174" s="134"/>
      <c r="AI174" s="134"/>
      <c r="AJ174" s="134" t="e">
        <f t="shared" si="94"/>
        <v>#DIV/0!</v>
      </c>
      <c r="AK174" s="156" t="e">
        <f t="shared" si="95"/>
        <v>#DIV/0!</v>
      </c>
      <c r="AL174" s="134">
        <f t="shared" ref="AL174:AS174" si="115">AL172/AL173*1000</f>
        <v>30262.5</v>
      </c>
      <c r="AM174" s="134">
        <f t="shared" si="115"/>
        <v>40162.857142857145</v>
      </c>
      <c r="AN174" s="134">
        <f t="shared" si="115"/>
        <v>32280</v>
      </c>
      <c r="AO174" s="134" t="e">
        <f t="shared" si="115"/>
        <v>#DIV/0!</v>
      </c>
      <c r="AP174" s="134">
        <f t="shared" si="115"/>
        <v>30970</v>
      </c>
      <c r="AQ174" s="134" t="e">
        <f t="shared" si="115"/>
        <v>#DIV/0!</v>
      </c>
      <c r="AR174" s="134">
        <f t="shared" si="115"/>
        <v>27336.666666666668</v>
      </c>
      <c r="AS174" s="134" t="e">
        <f t="shared" si="115"/>
        <v>#DIV/0!</v>
      </c>
      <c r="AT174" s="134"/>
      <c r="AU174" s="134"/>
      <c r="AV174" s="134" t="e">
        <f t="shared" si="97"/>
        <v>#DIV/0!</v>
      </c>
      <c r="AW174" s="156" t="e">
        <f t="shared" si="98"/>
        <v>#DIV/0!</v>
      </c>
      <c r="AX174" s="31">
        <f>AX172/AX173/6*1000</f>
        <v>37468.4375</v>
      </c>
      <c r="AY174" s="31">
        <f>AY172/AY173/12*1000</f>
        <v>33305.277777777774</v>
      </c>
      <c r="AZ174" s="109" t="e">
        <f>AZ172/AZ173/3*1000</f>
        <v>#DIV/0!</v>
      </c>
      <c r="BA174" s="62"/>
      <c r="BB174" s="62"/>
      <c r="BC174" s="62"/>
      <c r="BD174" s="62"/>
      <c r="BE174" s="110"/>
      <c r="BF174" s="109"/>
      <c r="BG174" s="62"/>
      <c r="BH174" s="62"/>
      <c r="BI174" s="110"/>
      <c r="BJ174" s="426" t="e">
        <f t="shared" si="110"/>
        <v>#DIV/0!</v>
      </c>
      <c r="BK174" s="427" t="e">
        <f t="shared" si="100"/>
        <v>#DIV/0!</v>
      </c>
      <c r="BL174" s="560"/>
      <c r="BM174" s="109"/>
      <c r="BN174" s="62"/>
      <c r="BO174" s="470"/>
      <c r="BP174" s="64"/>
      <c r="BQ174" s="61"/>
      <c r="BR174" s="521"/>
      <c r="BS174" s="66"/>
      <c r="BT174" s="64"/>
      <c r="BU174" s="61"/>
      <c r="BV174" s="479"/>
      <c r="BW174" s="66"/>
      <c r="BX174" s="522"/>
      <c r="BY174" s="68"/>
      <c r="BZ174" s="69"/>
      <c r="CA174" s="61"/>
      <c r="CB174" s="71"/>
      <c r="CC174" s="72"/>
      <c r="CD174" s="562"/>
      <c r="CE174" s="561"/>
      <c r="CF174" s="73"/>
      <c r="CG174" s="525"/>
      <c r="CH174" s="525"/>
      <c r="CI174" s="525"/>
      <c r="CJ174" s="525"/>
      <c r="CK174" s="525"/>
      <c r="CL174" s="525"/>
      <c r="CM174" s="526"/>
      <c r="CN174" s="526"/>
      <c r="CO174" s="526"/>
      <c r="CP174" s="526"/>
      <c r="CQ174" s="526"/>
      <c r="CR174" s="526"/>
      <c r="CS174" s="526"/>
      <c r="CT174" s="526"/>
      <c r="CU174" s="526"/>
      <c r="CV174" s="526"/>
      <c r="CW174" s="526"/>
      <c r="CX174" s="526"/>
      <c r="CY174" s="526"/>
      <c r="CZ174" s="526"/>
      <c r="DA174" s="31">
        <f>DA172/DA173/12*1000</f>
        <v>31552.36842105263</v>
      </c>
      <c r="DB174" s="31">
        <f>DB172/DB173/12*1000</f>
        <v>31552.36842105263</v>
      </c>
      <c r="DC174" s="31">
        <f>DC172/DC173/12*1000</f>
        <v>37436.929824561412</v>
      </c>
      <c r="DD174" s="31">
        <f>DD172/DD173/12*1000</f>
        <v>35742.543859649122</v>
      </c>
      <c r="DE174" s="31">
        <f>DE172/DE173/12*1000</f>
        <v>37436.929824561412</v>
      </c>
      <c r="DF174" s="31">
        <f>DF172/DF173/6*1000</f>
        <v>37436.929824561412</v>
      </c>
      <c r="DG174" s="31">
        <f>DG172/DG173/6*1000</f>
        <v>31552.280701754386</v>
      </c>
      <c r="DI174" s="826"/>
      <c r="DJ174" s="788"/>
    </row>
    <row r="175" spans="1:114" s="783" customFormat="1" ht="24" customHeight="1">
      <c r="A175" s="177"/>
      <c r="B175" s="187" t="s">
        <v>347</v>
      </c>
      <c r="C175" s="837" t="s">
        <v>54</v>
      </c>
      <c r="D175" s="105">
        <v>707.02</v>
      </c>
      <c r="E175" s="105">
        <v>730.18</v>
      </c>
      <c r="F175" s="105">
        <v>730.18</v>
      </c>
      <c r="G175" s="105">
        <v>730.18</v>
      </c>
      <c r="H175" s="242">
        <v>307.75</v>
      </c>
      <c r="I175" s="134">
        <v>282</v>
      </c>
      <c r="J175" s="242">
        <v>73.319999999999993</v>
      </c>
      <c r="K175" s="242">
        <v>208.68</v>
      </c>
      <c r="L175" s="134">
        <f>G175/12</f>
        <v>60.848333333333329</v>
      </c>
      <c r="M175" s="134">
        <v>43.098500000000001</v>
      </c>
      <c r="N175" s="134">
        <f>H175/12</f>
        <v>25.645833333333332</v>
      </c>
      <c r="O175" s="134">
        <v>22.4895</v>
      </c>
      <c r="P175" s="134"/>
      <c r="Q175" s="134"/>
      <c r="R175" s="134">
        <f>J175/12</f>
        <v>6.1099999999999994</v>
      </c>
      <c r="S175" s="134">
        <v>5.3570000000000002</v>
      </c>
      <c r="T175" s="134">
        <f>K175/12</f>
        <v>17.39</v>
      </c>
      <c r="U175" s="134">
        <v>15.253</v>
      </c>
      <c r="V175" s="134"/>
      <c r="W175" s="134"/>
      <c r="X175" s="134">
        <f t="shared" si="91"/>
        <v>-3.1563333333333325</v>
      </c>
      <c r="Y175" s="155">
        <f t="shared" si="92"/>
        <v>0.87692607636068243</v>
      </c>
      <c r="Z175" s="134">
        <v>49.15</v>
      </c>
      <c r="AA175" s="134">
        <v>57.07</v>
      </c>
      <c r="AB175" s="134">
        <v>25.65</v>
      </c>
      <c r="AC175" s="134"/>
      <c r="AD175" s="134">
        <v>6.11</v>
      </c>
      <c r="AE175" s="134"/>
      <c r="AF175" s="134">
        <v>17.39</v>
      </c>
      <c r="AG175" s="134"/>
      <c r="AH175" s="134"/>
      <c r="AI175" s="134"/>
      <c r="AJ175" s="134">
        <f t="shared" si="94"/>
        <v>-25.65</v>
      </c>
      <c r="AK175" s="156">
        <f t="shared" si="95"/>
        <v>0</v>
      </c>
      <c r="AL175" s="134">
        <v>49.15</v>
      </c>
      <c r="AM175" s="134">
        <v>57.07</v>
      </c>
      <c r="AN175" s="134">
        <v>25.65</v>
      </c>
      <c r="AO175" s="134"/>
      <c r="AP175" s="134">
        <v>6.11</v>
      </c>
      <c r="AQ175" s="134"/>
      <c r="AR175" s="134">
        <v>17.39</v>
      </c>
      <c r="AS175" s="134"/>
      <c r="AT175" s="134"/>
      <c r="AU175" s="134"/>
      <c r="AV175" s="134">
        <f t="shared" si="97"/>
        <v>-25.65</v>
      </c>
      <c r="AW175" s="156">
        <f t="shared" si="98"/>
        <v>0</v>
      </c>
      <c r="AX175" s="31">
        <f>G175/2</f>
        <v>365.09</v>
      </c>
      <c r="AY175" s="31">
        <v>730.18</v>
      </c>
      <c r="AZ175" s="109"/>
      <c r="BA175" s="62">
        <v>474.05</v>
      </c>
      <c r="BB175" s="62">
        <f t="shared" ref="BB175:BG175" si="116">BB172*20.3/100</f>
        <v>0</v>
      </c>
      <c r="BC175" s="62">
        <v>196.42</v>
      </c>
      <c r="BD175" s="62">
        <f t="shared" si="116"/>
        <v>0</v>
      </c>
      <c r="BE175" s="110">
        <v>12.02</v>
      </c>
      <c r="BF175" s="109">
        <f t="shared" si="116"/>
        <v>62.020559999999996</v>
      </c>
      <c r="BG175" s="62">
        <f t="shared" si="116"/>
        <v>52.954580000000007</v>
      </c>
      <c r="BH175" s="62"/>
      <c r="BI175" s="110"/>
      <c r="BJ175" s="426">
        <f t="shared" si="110"/>
        <v>474.05</v>
      </c>
      <c r="BK175" s="427" t="e">
        <f t="shared" si="100"/>
        <v>#DIV/0!</v>
      </c>
      <c r="BL175" s="560"/>
      <c r="BM175" s="109">
        <v>57.072180000000003</v>
      </c>
      <c r="BN175" s="62"/>
      <c r="BO175" s="470"/>
      <c r="BP175" s="64"/>
      <c r="BQ175" s="61"/>
      <c r="BR175" s="479"/>
      <c r="BS175" s="66"/>
      <c r="BT175" s="64"/>
      <c r="BU175" s="61"/>
      <c r="BV175" s="479"/>
      <c r="BW175" s="66"/>
      <c r="BX175" s="431"/>
      <c r="BY175" s="68">
        <f t="shared" si="101"/>
        <v>730.18</v>
      </c>
      <c r="BZ175" s="69">
        <f t="shared" ref="BZ175:BZ184" si="117">M175+BM175+BQ175+BU175</f>
        <v>100.17068</v>
      </c>
      <c r="CA175" s="61">
        <f t="shared" si="102"/>
        <v>-630.00931999999989</v>
      </c>
      <c r="CB175" s="71">
        <f t="shared" si="103"/>
        <v>0.13718628283436962</v>
      </c>
      <c r="CC175" s="72">
        <f t="shared" ref="CC175:CC184" si="118">BZ175-E175</f>
        <v>-630.00931999999989</v>
      </c>
      <c r="CD175" s="434">
        <f>BZ175-CE175</f>
        <v>12.660679999999999</v>
      </c>
      <c r="CE175" s="561">
        <v>87.51</v>
      </c>
      <c r="CF175" s="73"/>
      <c r="CG175" s="74"/>
      <c r="CH175" s="74"/>
      <c r="CI175" s="74"/>
      <c r="CJ175" s="74"/>
      <c r="CK175" s="74"/>
      <c r="CL175" s="74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31">
        <f>DA172*20.3/100</f>
        <v>730.18490999999995</v>
      </c>
      <c r="DB175" s="31">
        <f>DB172*20.3/100</f>
        <v>730.18490999999995</v>
      </c>
      <c r="DC175" s="31">
        <f>DC172*30.3/100</f>
        <v>1293.14643</v>
      </c>
      <c r="DD175" s="105">
        <v>994.54</v>
      </c>
      <c r="DE175" s="31">
        <f>DE172*30.3/100</f>
        <v>1293.14643</v>
      </c>
      <c r="DF175" s="31">
        <f>DF172*20.3/100</f>
        <v>433.18271500000003</v>
      </c>
      <c r="DG175" s="31">
        <f>DG172*20.3/100</f>
        <v>365.09143999999998</v>
      </c>
      <c r="DI175" s="826"/>
      <c r="DJ175" s="788"/>
    </row>
    <row r="176" spans="1:114" s="783" customFormat="1" hidden="1">
      <c r="A176" s="232" t="s">
        <v>268</v>
      </c>
      <c r="B176" s="166" t="s">
        <v>28</v>
      </c>
      <c r="C176" s="834" t="s">
        <v>54</v>
      </c>
      <c r="D176" s="108">
        <f>SUM(D177:D179)</f>
        <v>24</v>
      </c>
      <c r="E176" s="108">
        <f>SUM(E177:E179)</f>
        <v>6</v>
      </c>
      <c r="F176" s="108">
        <f>SUM(F177:F179)</f>
        <v>24</v>
      </c>
      <c r="G176" s="108">
        <f>SUM(G177:G179)</f>
        <v>24</v>
      </c>
      <c r="H176" s="234" t="e">
        <f>H179+#REF!</f>
        <v>#REF!</v>
      </c>
      <c r="I176" s="234" t="e">
        <f>I179+#REF!</f>
        <v>#REF!</v>
      </c>
      <c r="J176" s="234" t="e">
        <f>J179+#REF!</f>
        <v>#REF!</v>
      </c>
      <c r="K176" s="234" t="e">
        <f>K179+#REF!</f>
        <v>#REF!</v>
      </c>
      <c r="L176" s="235" t="e">
        <f>L179+#REF!</f>
        <v>#REF!</v>
      </c>
      <c r="M176" s="235" t="e">
        <f>M179+#REF!</f>
        <v>#REF!</v>
      </c>
      <c r="N176" s="235" t="e">
        <f>N179+#REF!</f>
        <v>#REF!</v>
      </c>
      <c r="O176" s="235" t="e">
        <f>O179+#REF!</f>
        <v>#REF!</v>
      </c>
      <c r="P176" s="235"/>
      <c r="Q176" s="235"/>
      <c r="R176" s="235">
        <v>136.47999999999999</v>
      </c>
      <c r="S176" s="235" t="e">
        <f>S179+#REF!</f>
        <v>#REF!</v>
      </c>
      <c r="T176" s="235" t="e">
        <f>T179+#REF!</f>
        <v>#REF!</v>
      </c>
      <c r="U176" s="235" t="e">
        <f>U179+#REF!</f>
        <v>#REF!</v>
      </c>
      <c r="V176" s="235"/>
      <c r="W176" s="235"/>
      <c r="X176" s="235" t="e">
        <f>O176-N176</f>
        <v>#REF!</v>
      </c>
      <c r="Y176" s="236" t="e">
        <f>O176/N176</f>
        <v>#REF!</v>
      </c>
      <c r="Z176" s="235" t="e">
        <f>Z179+#REF!</f>
        <v>#REF!</v>
      </c>
      <c r="AA176" s="235" t="e">
        <f>AA179+#REF!</f>
        <v>#REF!</v>
      </c>
      <c r="AB176" s="235" t="e">
        <f>AB179+#REF!</f>
        <v>#REF!</v>
      </c>
      <c r="AC176" s="235" t="e">
        <f>AC179+#REF!</f>
        <v>#REF!</v>
      </c>
      <c r="AD176" s="235" t="e">
        <f>AD179+#REF!</f>
        <v>#REF!</v>
      </c>
      <c r="AE176" s="235" t="e">
        <f>AE179+#REF!</f>
        <v>#REF!</v>
      </c>
      <c r="AF176" s="235" t="e">
        <f>AF179+#REF!</f>
        <v>#REF!</v>
      </c>
      <c r="AG176" s="235" t="e">
        <f>AG179+#REF!</f>
        <v>#REF!</v>
      </c>
      <c r="AH176" s="235"/>
      <c r="AI176" s="235"/>
      <c r="AJ176" s="235" t="e">
        <f>AC176-AB176</f>
        <v>#REF!</v>
      </c>
      <c r="AK176" s="237" t="e">
        <f>AC176/AB176</f>
        <v>#REF!</v>
      </c>
      <c r="AL176" s="235" t="e">
        <f>AL179+#REF!</f>
        <v>#REF!</v>
      </c>
      <c r="AM176" s="235" t="e">
        <f>AM179+#REF!</f>
        <v>#REF!</v>
      </c>
      <c r="AN176" s="235" t="e">
        <f>AN179+#REF!</f>
        <v>#REF!</v>
      </c>
      <c r="AO176" s="235" t="e">
        <f>AO179+#REF!</f>
        <v>#REF!</v>
      </c>
      <c r="AP176" s="235" t="e">
        <f>AP179+#REF!</f>
        <v>#REF!</v>
      </c>
      <c r="AQ176" s="235" t="e">
        <f>AQ179+#REF!</f>
        <v>#REF!</v>
      </c>
      <c r="AR176" s="235" t="e">
        <f>AR179+#REF!</f>
        <v>#REF!</v>
      </c>
      <c r="AS176" s="235" t="e">
        <f>AS179+#REF!</f>
        <v>#REF!</v>
      </c>
      <c r="AT176" s="235"/>
      <c r="AU176" s="235"/>
      <c r="AV176" s="235" t="e">
        <f>AO176-AN176</f>
        <v>#REF!</v>
      </c>
      <c r="AW176" s="237" t="e">
        <f>AO176/AN176</f>
        <v>#REF!</v>
      </c>
      <c r="AX176" s="101">
        <f>G176/2</f>
        <v>12</v>
      </c>
      <c r="AY176" s="101">
        <f>SUM(AY177:AY179)</f>
        <v>5.4809999999900008</v>
      </c>
      <c r="AZ176" s="238" t="e">
        <f>AZ179+#REF!</f>
        <v>#REF!</v>
      </c>
      <c r="BA176" s="239">
        <f>SUM(BA177:BA179)</f>
        <v>3.88</v>
      </c>
      <c r="BB176" s="239">
        <f t="shared" ref="BB176:BG176" si="119">SUM(BB179)</f>
        <v>0</v>
      </c>
      <c r="BC176" s="239">
        <f>SUM(BC177:BC179)</f>
        <v>1.36099999999</v>
      </c>
      <c r="BD176" s="239">
        <f t="shared" si="119"/>
        <v>0</v>
      </c>
      <c r="BE176" s="240">
        <f>SUM(BE177:BE179)</f>
        <v>0.24</v>
      </c>
      <c r="BF176" s="238">
        <f>SUM(BF177:BF179)</f>
        <v>0.06</v>
      </c>
      <c r="BG176" s="239">
        <f t="shared" si="119"/>
        <v>0</v>
      </c>
      <c r="BH176" s="239"/>
      <c r="BI176" s="240"/>
      <c r="BJ176" s="417" t="e">
        <f t="shared" si="110"/>
        <v>#REF!</v>
      </c>
      <c r="BK176" s="545" t="e">
        <f>BA176/AZ176</f>
        <v>#REF!</v>
      </c>
      <c r="BL176" s="546"/>
      <c r="BM176" s="238" t="e">
        <f>BM179+#REF!</f>
        <v>#REF!</v>
      </c>
      <c r="BN176" s="239"/>
      <c r="BO176" s="455"/>
      <c r="BP176" s="547"/>
      <c r="BQ176" s="548"/>
      <c r="BR176" s="549"/>
      <c r="BS176" s="550"/>
      <c r="BT176" s="547"/>
      <c r="BU176" s="548"/>
      <c r="BV176" s="549"/>
      <c r="BW176" s="550"/>
      <c r="BX176" s="551">
        <f>BX179</f>
        <v>0</v>
      </c>
      <c r="BY176" s="552">
        <f>F176</f>
        <v>24</v>
      </c>
      <c r="BZ176" s="553" t="e">
        <f t="shared" si="117"/>
        <v>#REF!</v>
      </c>
      <c r="CA176" s="548" t="e">
        <f>BZ176-BY176</f>
        <v>#REF!</v>
      </c>
      <c r="CB176" s="554" t="e">
        <f>BZ176/BY176</f>
        <v>#REF!</v>
      </c>
      <c r="CC176" s="309" t="e">
        <f t="shared" si="118"/>
        <v>#REF!</v>
      </c>
      <c r="CD176" s="555" t="e">
        <f>CD179+#REF!</f>
        <v>#REF!</v>
      </c>
      <c r="CE176" s="556" t="e">
        <f>CE179+#REF!</f>
        <v>#REF!</v>
      </c>
      <c r="CF176" s="557"/>
      <c r="CG176" s="558"/>
      <c r="CH176" s="558"/>
      <c r="CI176" s="558"/>
      <c r="CJ176" s="558"/>
      <c r="CK176" s="558"/>
      <c r="CL176" s="558"/>
      <c r="CM176" s="559"/>
      <c r="CN176" s="559"/>
      <c r="CO176" s="559"/>
      <c r="CP176" s="559"/>
      <c r="CQ176" s="559"/>
      <c r="CR176" s="559"/>
      <c r="CS176" s="559"/>
      <c r="CT176" s="559"/>
      <c r="CU176" s="559"/>
      <c r="CV176" s="559"/>
      <c r="CW176" s="559"/>
      <c r="CX176" s="559"/>
      <c r="CY176" s="559"/>
      <c r="CZ176" s="559"/>
      <c r="DA176" s="101"/>
      <c r="DB176" s="101"/>
      <c r="DC176" s="108"/>
      <c r="DD176" s="108"/>
      <c r="DE176" s="108"/>
      <c r="DF176" s="108"/>
      <c r="DG176" s="117"/>
      <c r="DI176" s="826"/>
      <c r="DJ176" s="788"/>
    </row>
    <row r="177" spans="1:114" s="783" customFormat="1" hidden="1">
      <c r="A177" s="177"/>
      <c r="B177" s="187" t="s">
        <v>29</v>
      </c>
      <c r="C177" s="837" t="s">
        <v>54</v>
      </c>
      <c r="D177" s="31">
        <v>6</v>
      </c>
      <c r="E177" s="31">
        <v>2.5</v>
      </c>
      <c r="F177" s="31">
        <v>6</v>
      </c>
      <c r="G177" s="31">
        <v>6</v>
      </c>
      <c r="H177" s="134"/>
      <c r="I177" s="134"/>
      <c r="J177" s="134"/>
      <c r="K177" s="134"/>
      <c r="L177" s="242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55"/>
      <c r="Z177" s="242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56"/>
      <c r="AL177" s="242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56"/>
      <c r="AX177" s="31"/>
      <c r="AY177" s="31">
        <f>SUM(BA177,BC177,BE177)</f>
        <v>2.2509000000000001</v>
      </c>
      <c r="AZ177" s="109"/>
      <c r="BA177" s="62">
        <v>1.42</v>
      </c>
      <c r="BB177" s="62"/>
      <c r="BC177" s="62">
        <v>0.71089999999999998</v>
      </c>
      <c r="BD177" s="62"/>
      <c r="BE177" s="110">
        <v>0.12</v>
      </c>
      <c r="BF177" s="109"/>
      <c r="BG177" s="62"/>
      <c r="BH177" s="62"/>
      <c r="BI177" s="110"/>
      <c r="BJ177" s="426">
        <f>BA177-AZ177</f>
        <v>1.42</v>
      </c>
      <c r="BK177" s="427"/>
      <c r="BL177" s="560"/>
      <c r="BM177" s="109"/>
      <c r="BN177" s="62"/>
      <c r="BO177" s="470"/>
      <c r="BP177" s="64"/>
      <c r="BQ177" s="61"/>
      <c r="BR177" s="479"/>
      <c r="BS177" s="66"/>
      <c r="BT177" s="64"/>
      <c r="BU177" s="61"/>
      <c r="BV177" s="65"/>
      <c r="BW177" s="66"/>
      <c r="BX177" s="431"/>
      <c r="BY177" s="68"/>
      <c r="BZ177" s="69">
        <f>M177+BM177+BQ177+BU177</f>
        <v>0</v>
      </c>
      <c r="CA177" s="70"/>
      <c r="CB177" s="71"/>
      <c r="CC177" s="72">
        <f>BZ177-E177</f>
        <v>-2.5</v>
      </c>
      <c r="CD177" s="562">
        <v>70.2</v>
      </c>
      <c r="CE177" s="561"/>
      <c r="CF177" s="73"/>
      <c r="CG177" s="74"/>
      <c r="CH177" s="74"/>
      <c r="CI177" s="74"/>
      <c r="CJ177" s="74"/>
      <c r="CK177" s="74"/>
      <c r="CL177" s="74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31">
        <v>2.5</v>
      </c>
      <c r="DB177" s="31">
        <v>2.5</v>
      </c>
      <c r="DC177" s="31">
        <v>6</v>
      </c>
      <c r="DD177" s="31">
        <v>4.5999999999999996</v>
      </c>
      <c r="DE177" s="31">
        <v>6</v>
      </c>
      <c r="DF177" s="31">
        <v>3</v>
      </c>
      <c r="DG177" s="134">
        <v>3</v>
      </c>
      <c r="DI177" s="826"/>
      <c r="DJ177" s="788"/>
    </row>
    <row r="178" spans="1:114" s="783" customFormat="1" hidden="1">
      <c r="A178" s="177"/>
      <c r="B178" s="187" t="s">
        <v>59</v>
      </c>
      <c r="C178" s="837" t="s">
        <v>54</v>
      </c>
      <c r="D178" s="31">
        <v>3</v>
      </c>
      <c r="E178" s="31">
        <v>1.5</v>
      </c>
      <c r="F178" s="31">
        <v>3</v>
      </c>
      <c r="G178" s="31">
        <v>3</v>
      </c>
      <c r="H178" s="134"/>
      <c r="I178" s="134"/>
      <c r="J178" s="134"/>
      <c r="K178" s="134"/>
      <c r="L178" s="242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55"/>
      <c r="Z178" s="242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56"/>
      <c r="AL178" s="242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56"/>
      <c r="AX178" s="31"/>
      <c r="AY178" s="31">
        <f>SUM(BA178,BC178,BE178)</f>
        <v>1.3</v>
      </c>
      <c r="AZ178" s="109"/>
      <c r="BA178" s="62">
        <v>1.3</v>
      </c>
      <c r="BB178" s="62"/>
      <c r="BC178" s="62"/>
      <c r="BD178" s="62"/>
      <c r="BE178" s="110"/>
      <c r="BF178" s="109"/>
      <c r="BG178" s="62"/>
      <c r="BH178" s="62"/>
      <c r="BI178" s="110"/>
      <c r="BJ178" s="426"/>
      <c r="BK178" s="427"/>
      <c r="BL178" s="560"/>
      <c r="BM178" s="109"/>
      <c r="BN178" s="62"/>
      <c r="BO178" s="470"/>
      <c r="BP178" s="64"/>
      <c r="BQ178" s="61"/>
      <c r="BR178" s="479"/>
      <c r="BS178" s="66"/>
      <c r="BT178" s="64"/>
      <c r="BU178" s="61"/>
      <c r="BV178" s="65"/>
      <c r="BW178" s="66"/>
      <c r="BX178" s="431"/>
      <c r="BY178" s="68"/>
      <c r="BZ178" s="69"/>
      <c r="CA178" s="70"/>
      <c r="CB178" s="71"/>
      <c r="CC178" s="72"/>
      <c r="CD178" s="562"/>
      <c r="CE178" s="561"/>
      <c r="CF178" s="73"/>
      <c r="CG178" s="74"/>
      <c r="CH178" s="74"/>
      <c r="CI178" s="74"/>
      <c r="CJ178" s="74"/>
      <c r="CK178" s="74"/>
      <c r="CL178" s="74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31">
        <v>1.5</v>
      </c>
      <c r="DB178" s="31">
        <v>1.5</v>
      </c>
      <c r="DC178" s="31">
        <v>3</v>
      </c>
      <c r="DD178" s="31"/>
      <c r="DE178" s="31">
        <v>3</v>
      </c>
      <c r="DF178" s="31">
        <v>1.5</v>
      </c>
      <c r="DG178" s="134">
        <v>1.5</v>
      </c>
      <c r="DI178" s="826"/>
      <c r="DJ178" s="788"/>
    </row>
    <row r="179" spans="1:114" s="783" customFormat="1" hidden="1">
      <c r="A179" s="177"/>
      <c r="B179" s="187" t="s">
        <v>162</v>
      </c>
      <c r="C179" s="837" t="s">
        <v>54</v>
      </c>
      <c r="D179" s="31">
        <v>15</v>
      </c>
      <c r="E179" s="31">
        <v>2</v>
      </c>
      <c r="F179" s="31">
        <v>15</v>
      </c>
      <c r="G179" s="31">
        <v>15</v>
      </c>
      <c r="H179" s="134"/>
      <c r="I179" s="134"/>
      <c r="J179" s="134"/>
      <c r="K179" s="134"/>
      <c r="L179" s="242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55"/>
      <c r="Z179" s="242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56"/>
      <c r="AL179" s="242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56"/>
      <c r="AX179" s="31"/>
      <c r="AY179" s="31">
        <f>SUM(BA179,BC179,BE179)</f>
        <v>1.9300999999899999</v>
      </c>
      <c r="AZ179" s="109"/>
      <c r="BA179" s="62">
        <v>1.1599999999999999</v>
      </c>
      <c r="BB179" s="62"/>
      <c r="BC179" s="62">
        <v>0.65009999999000001</v>
      </c>
      <c r="BD179" s="62"/>
      <c r="BE179" s="110">
        <v>0.12</v>
      </c>
      <c r="BF179" s="109">
        <v>0.06</v>
      </c>
      <c r="BG179" s="62"/>
      <c r="BH179" s="62"/>
      <c r="BI179" s="110"/>
      <c r="BJ179" s="426">
        <f t="shared" si="110"/>
        <v>1.1599999999999999</v>
      </c>
      <c r="BK179" s="427"/>
      <c r="BL179" s="560"/>
      <c r="BM179" s="109"/>
      <c r="BN179" s="62"/>
      <c r="BO179" s="470"/>
      <c r="BP179" s="64"/>
      <c r="BQ179" s="61"/>
      <c r="BR179" s="479"/>
      <c r="BS179" s="66"/>
      <c r="BT179" s="64"/>
      <c r="BU179" s="61"/>
      <c r="BV179" s="65"/>
      <c r="BW179" s="66"/>
      <c r="BX179" s="431"/>
      <c r="BY179" s="68"/>
      <c r="BZ179" s="69">
        <f t="shared" si="117"/>
        <v>0</v>
      </c>
      <c r="CA179" s="70"/>
      <c r="CB179" s="71"/>
      <c r="CC179" s="72">
        <f t="shared" si="118"/>
        <v>-2</v>
      </c>
      <c r="CD179" s="562">
        <v>70.2</v>
      </c>
      <c r="CE179" s="561"/>
      <c r="CF179" s="73"/>
      <c r="CG179" s="74"/>
      <c r="CH179" s="74"/>
      <c r="CI179" s="74"/>
      <c r="CJ179" s="74"/>
      <c r="CK179" s="74"/>
      <c r="CL179" s="74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31">
        <v>2</v>
      </c>
      <c r="DB179" s="31">
        <v>2</v>
      </c>
      <c r="DC179" s="31">
        <v>15</v>
      </c>
      <c r="DD179" s="31">
        <v>11.6</v>
      </c>
      <c r="DE179" s="31">
        <v>15</v>
      </c>
      <c r="DF179" s="31">
        <v>7.5</v>
      </c>
      <c r="DG179" s="134">
        <v>7.5</v>
      </c>
      <c r="DI179" s="826"/>
      <c r="DJ179" s="788"/>
    </row>
    <row r="180" spans="1:114" s="783" customFormat="1">
      <c r="A180" s="232" t="s">
        <v>268</v>
      </c>
      <c r="B180" s="166" t="s">
        <v>6</v>
      </c>
      <c r="C180" s="834" t="s">
        <v>54</v>
      </c>
      <c r="D180" s="108">
        <f>SUM(D181:D229)</f>
        <v>1335.4</v>
      </c>
      <c r="E180" s="108">
        <f>SUM(E181:E229)</f>
        <v>1398.1100000000001</v>
      </c>
      <c r="F180" s="108">
        <f>SUM(F181:F229)</f>
        <v>834.75</v>
      </c>
      <c r="G180" s="108">
        <f>SUM(G181:G229)</f>
        <v>834.75</v>
      </c>
      <c r="H180" s="234" t="e">
        <f>#REF!+H185</f>
        <v>#REF!</v>
      </c>
      <c r="I180" s="234" t="e">
        <f>#REF!+I185</f>
        <v>#REF!</v>
      </c>
      <c r="J180" s="234" t="e">
        <f>#REF!+J185</f>
        <v>#REF!</v>
      </c>
      <c r="K180" s="234" t="e">
        <f>#REF!+K185</f>
        <v>#REF!</v>
      </c>
      <c r="L180" s="235" t="e">
        <f>#REF!+L185</f>
        <v>#REF!</v>
      </c>
      <c r="M180" s="235" t="e">
        <f>#REF!+M185</f>
        <v>#REF!</v>
      </c>
      <c r="N180" s="235" t="e">
        <f>#REF!+N185</f>
        <v>#REF!</v>
      </c>
      <c r="O180" s="235" t="e">
        <f>#REF!+O185</f>
        <v>#REF!</v>
      </c>
      <c r="P180" s="235"/>
      <c r="Q180" s="235"/>
      <c r="R180" s="235">
        <v>136.47999999999999</v>
      </c>
      <c r="S180" s="235" t="e">
        <f>#REF!+S185</f>
        <v>#REF!</v>
      </c>
      <c r="T180" s="235" t="e">
        <f>#REF!+T185</f>
        <v>#REF!</v>
      </c>
      <c r="U180" s="235" t="e">
        <f>#REF!+U185</f>
        <v>#REF!</v>
      </c>
      <c r="V180" s="235"/>
      <c r="W180" s="235"/>
      <c r="X180" s="235" t="e">
        <f>O180-N180</f>
        <v>#REF!</v>
      </c>
      <c r="Y180" s="236" t="e">
        <f>O180/N180</f>
        <v>#REF!</v>
      </c>
      <c r="Z180" s="235" t="e">
        <f>#REF!+Z185</f>
        <v>#REF!</v>
      </c>
      <c r="AA180" s="235" t="e">
        <f>#REF!+AA185</f>
        <v>#REF!</v>
      </c>
      <c r="AB180" s="235" t="e">
        <f>#REF!+AB185</f>
        <v>#REF!</v>
      </c>
      <c r="AC180" s="235" t="e">
        <f>#REF!+AC185</f>
        <v>#REF!</v>
      </c>
      <c r="AD180" s="235" t="e">
        <f>#REF!+AD185</f>
        <v>#REF!</v>
      </c>
      <c r="AE180" s="235" t="e">
        <f>#REF!+AE185</f>
        <v>#REF!</v>
      </c>
      <c r="AF180" s="235" t="e">
        <f>#REF!+AF185</f>
        <v>#REF!</v>
      </c>
      <c r="AG180" s="235" t="e">
        <f>#REF!+AG185</f>
        <v>#REF!</v>
      </c>
      <c r="AH180" s="235"/>
      <c r="AI180" s="235"/>
      <c r="AJ180" s="235" t="e">
        <f>AC180-AB180</f>
        <v>#REF!</v>
      </c>
      <c r="AK180" s="237" t="e">
        <f>AC180/AB180</f>
        <v>#REF!</v>
      </c>
      <c r="AL180" s="235" t="e">
        <f>#REF!+AL185</f>
        <v>#REF!</v>
      </c>
      <c r="AM180" s="235" t="e">
        <f>#REF!+AM185</f>
        <v>#REF!</v>
      </c>
      <c r="AN180" s="235" t="e">
        <f>#REF!+AN185</f>
        <v>#REF!</v>
      </c>
      <c r="AO180" s="235" t="e">
        <f>#REF!+AO185</f>
        <v>#REF!</v>
      </c>
      <c r="AP180" s="235" t="e">
        <f>#REF!+AP185</f>
        <v>#REF!</v>
      </c>
      <c r="AQ180" s="235" t="e">
        <f>#REF!+AQ185</f>
        <v>#REF!</v>
      </c>
      <c r="AR180" s="235" t="e">
        <f>#REF!+AR185</f>
        <v>#REF!</v>
      </c>
      <c r="AS180" s="235" t="e">
        <f>#REF!+AS185</f>
        <v>#REF!</v>
      </c>
      <c r="AT180" s="235"/>
      <c r="AU180" s="235"/>
      <c r="AV180" s="235" t="e">
        <f>AO180-AN180</f>
        <v>#REF!</v>
      </c>
      <c r="AW180" s="237" t="e">
        <f>AO180/AN180</f>
        <v>#REF!</v>
      </c>
      <c r="AX180" s="101">
        <f>G180/2</f>
        <v>417.375</v>
      </c>
      <c r="AY180" s="101">
        <f>SUM(AY181:AY229)</f>
        <v>1305.58</v>
      </c>
      <c r="AZ180" s="238" t="e">
        <f>#REF!+AZ185</f>
        <v>#REF!</v>
      </c>
      <c r="BA180" s="239">
        <f t="shared" ref="BA180:BG180" si="120">SUM(BA181:BA229)</f>
        <v>420.11</v>
      </c>
      <c r="BB180" s="239">
        <f t="shared" si="120"/>
        <v>0</v>
      </c>
      <c r="BC180" s="239">
        <f t="shared" si="120"/>
        <v>209.14</v>
      </c>
      <c r="BD180" s="239">
        <f t="shared" si="120"/>
        <v>0</v>
      </c>
      <c r="BE180" s="240">
        <f t="shared" si="120"/>
        <v>46.86999999999999</v>
      </c>
      <c r="BF180" s="238">
        <f t="shared" si="120"/>
        <v>1.92</v>
      </c>
      <c r="BG180" s="239">
        <f t="shared" si="120"/>
        <v>81.94</v>
      </c>
      <c r="BH180" s="239"/>
      <c r="BI180" s="240"/>
      <c r="BJ180" s="417" t="e">
        <f t="shared" si="110"/>
        <v>#REF!</v>
      </c>
      <c r="BK180" s="545" t="e">
        <f>BA180/AZ180</f>
        <v>#REF!</v>
      </c>
      <c r="BL180" s="546"/>
      <c r="BM180" s="238" t="e">
        <f>#REF!+BM185</f>
        <v>#REF!</v>
      </c>
      <c r="BN180" s="239"/>
      <c r="BO180" s="455"/>
      <c r="BP180" s="547"/>
      <c r="BQ180" s="548"/>
      <c r="BR180" s="549"/>
      <c r="BS180" s="550"/>
      <c r="BT180" s="547"/>
      <c r="BU180" s="548"/>
      <c r="BV180" s="549"/>
      <c r="BW180" s="550"/>
      <c r="BX180" s="551" t="e">
        <f>#REF!</f>
        <v>#REF!</v>
      </c>
      <c r="BY180" s="552">
        <f>F180</f>
        <v>834.75</v>
      </c>
      <c r="BZ180" s="553" t="e">
        <f>M180+BM180+BQ180+BU180</f>
        <v>#REF!</v>
      </c>
      <c r="CA180" s="548" t="e">
        <f>BZ180-BY180</f>
        <v>#REF!</v>
      </c>
      <c r="CB180" s="554" t="e">
        <f>BZ180/BY180</f>
        <v>#REF!</v>
      </c>
      <c r="CC180" s="309" t="e">
        <f>BZ180-E180</f>
        <v>#REF!</v>
      </c>
      <c r="CD180" s="555" t="e">
        <f>#REF!+CD185</f>
        <v>#REF!</v>
      </c>
      <c r="CE180" s="556" t="e">
        <f>#REF!+CE185</f>
        <v>#REF!</v>
      </c>
      <c r="CF180" s="557"/>
      <c r="CG180" s="558"/>
      <c r="CH180" s="558"/>
      <c r="CI180" s="558"/>
      <c r="CJ180" s="558"/>
      <c r="CK180" s="558"/>
      <c r="CL180" s="558"/>
      <c r="CM180" s="559"/>
      <c r="CN180" s="559"/>
      <c r="CO180" s="559"/>
      <c r="CP180" s="559"/>
      <c r="CQ180" s="559"/>
      <c r="CR180" s="559"/>
      <c r="CS180" s="559"/>
      <c r="CT180" s="559"/>
      <c r="CU180" s="559"/>
      <c r="CV180" s="559"/>
      <c r="CW180" s="559"/>
      <c r="CX180" s="559"/>
      <c r="CY180" s="559"/>
      <c r="CZ180" s="559"/>
      <c r="DA180" s="101">
        <v>1404.11</v>
      </c>
      <c r="DB180" s="101">
        <f>SUM(DB181:DB229)</f>
        <v>858.75</v>
      </c>
      <c r="DC180" s="108">
        <v>1481.79</v>
      </c>
      <c r="DD180" s="108">
        <v>1746.2</v>
      </c>
      <c r="DE180" s="108">
        <v>1481.79</v>
      </c>
      <c r="DF180" s="108">
        <f>DE180/2</f>
        <v>740.89499999999998</v>
      </c>
      <c r="DG180" s="117">
        <f>DF180</f>
        <v>740.89499999999998</v>
      </c>
      <c r="DH180" s="233"/>
      <c r="DI180" s="826"/>
      <c r="DJ180" s="788"/>
    </row>
    <row r="181" spans="1:114" s="783" customFormat="1" ht="12.75" hidden="1" customHeight="1">
      <c r="A181" s="177"/>
      <c r="B181" s="187" t="s">
        <v>245</v>
      </c>
      <c r="C181" s="837" t="s">
        <v>54</v>
      </c>
      <c r="D181" s="31">
        <v>99.39</v>
      </c>
      <c r="E181" s="31">
        <v>105.35</v>
      </c>
      <c r="F181" s="31">
        <f>105.35-24</f>
        <v>81.349999999999994</v>
      </c>
      <c r="G181" s="31">
        <f>105.35-24</f>
        <v>81.349999999999994</v>
      </c>
      <c r="H181" s="134"/>
      <c r="I181" s="134"/>
      <c r="J181" s="134"/>
      <c r="K181" s="134"/>
      <c r="L181" s="242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55"/>
      <c r="Z181" s="242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56"/>
      <c r="AL181" s="242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56"/>
      <c r="AX181" s="31"/>
      <c r="AY181" s="31">
        <f>29.27+31.19</f>
        <v>60.46</v>
      </c>
      <c r="AZ181" s="109"/>
      <c r="BA181" s="62">
        <v>46.39</v>
      </c>
      <c r="BB181" s="62"/>
      <c r="BC181" s="62">
        <v>10.97</v>
      </c>
      <c r="BD181" s="62"/>
      <c r="BE181" s="110">
        <v>5.33</v>
      </c>
      <c r="BF181" s="109"/>
      <c r="BG181" s="62"/>
      <c r="BH181" s="62"/>
      <c r="BI181" s="110"/>
      <c r="BJ181" s="426">
        <f t="shared" si="110"/>
        <v>46.39</v>
      </c>
      <c r="BK181" s="427"/>
      <c r="BL181" s="560"/>
      <c r="BM181" s="109"/>
      <c r="BN181" s="62"/>
      <c r="BO181" s="470"/>
      <c r="BP181" s="64"/>
      <c r="BQ181" s="61"/>
      <c r="BR181" s="479"/>
      <c r="BS181" s="66"/>
      <c r="BT181" s="64"/>
      <c r="BU181" s="61"/>
      <c r="BV181" s="65"/>
      <c r="BW181" s="66"/>
      <c r="BX181" s="431"/>
      <c r="BY181" s="68"/>
      <c r="BZ181" s="69">
        <f t="shared" si="117"/>
        <v>0</v>
      </c>
      <c r="CA181" s="70"/>
      <c r="CB181" s="71"/>
      <c r="CC181" s="72">
        <f t="shared" si="118"/>
        <v>-105.35</v>
      </c>
      <c r="CD181" s="562">
        <v>24.3</v>
      </c>
      <c r="CE181" s="561"/>
      <c r="CF181" s="73"/>
      <c r="CG181" s="74"/>
      <c r="CH181" s="74"/>
      <c r="CI181" s="74"/>
      <c r="CJ181" s="74"/>
      <c r="CK181" s="74"/>
      <c r="CL181" s="74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31">
        <v>105.35</v>
      </c>
      <c r="DB181" s="31">
        <v>105.35</v>
      </c>
      <c r="DC181" s="31">
        <v>159.32</v>
      </c>
      <c r="DD181" s="31">
        <v>105.35</v>
      </c>
      <c r="DE181" s="31">
        <v>159.32</v>
      </c>
      <c r="DF181" s="108">
        <f t="shared" ref="DF181:DF235" si="121">DE181/2</f>
        <v>79.66</v>
      </c>
      <c r="DG181" s="134">
        <f>DF181</f>
        <v>79.66</v>
      </c>
      <c r="DH181" s="842"/>
      <c r="DI181" s="826"/>
      <c r="DJ181" s="788"/>
    </row>
    <row r="182" spans="1:114" s="783" customFormat="1" hidden="1">
      <c r="A182" s="177"/>
      <c r="B182" s="187" t="s">
        <v>163</v>
      </c>
      <c r="C182" s="837" t="s">
        <v>54</v>
      </c>
      <c r="D182" s="31">
        <v>5.76</v>
      </c>
      <c r="E182" s="31">
        <v>7</v>
      </c>
      <c r="F182" s="31">
        <v>7</v>
      </c>
      <c r="G182" s="31">
        <v>7</v>
      </c>
      <c r="H182" s="134"/>
      <c r="I182" s="134"/>
      <c r="J182" s="134"/>
      <c r="K182" s="134"/>
      <c r="L182" s="242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55"/>
      <c r="Z182" s="242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56"/>
      <c r="AL182" s="242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56"/>
      <c r="AX182" s="31"/>
      <c r="AY182" s="31">
        <v>4.08</v>
      </c>
      <c r="AZ182" s="109"/>
      <c r="BA182" s="62"/>
      <c r="BB182" s="62"/>
      <c r="BC182" s="62"/>
      <c r="BD182" s="62"/>
      <c r="BE182" s="110"/>
      <c r="BF182" s="109"/>
      <c r="BG182" s="62">
        <f>AY182</f>
        <v>4.08</v>
      </c>
      <c r="BH182" s="62"/>
      <c r="BI182" s="110"/>
      <c r="BJ182" s="426">
        <f t="shared" si="110"/>
        <v>0</v>
      </c>
      <c r="BK182" s="427"/>
      <c r="BL182" s="560"/>
      <c r="BM182" s="109"/>
      <c r="BN182" s="62"/>
      <c r="BO182" s="470"/>
      <c r="BP182" s="64"/>
      <c r="BQ182" s="61"/>
      <c r="BR182" s="65"/>
      <c r="BS182" s="66"/>
      <c r="BT182" s="64"/>
      <c r="BU182" s="61"/>
      <c r="BV182" s="65"/>
      <c r="BW182" s="66"/>
      <c r="BX182" s="431"/>
      <c r="BY182" s="68"/>
      <c r="BZ182" s="69">
        <f t="shared" si="117"/>
        <v>0</v>
      </c>
      <c r="CA182" s="70"/>
      <c r="CB182" s="71"/>
      <c r="CC182" s="72">
        <f t="shared" si="118"/>
        <v>-7</v>
      </c>
      <c r="CD182" s="562">
        <v>0.24</v>
      </c>
      <c r="CE182" s="561"/>
      <c r="CF182" s="73"/>
      <c r="CG182" s="74"/>
      <c r="CH182" s="74"/>
      <c r="CI182" s="74"/>
      <c r="CJ182" s="74"/>
      <c r="CK182" s="74"/>
      <c r="CL182" s="74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31">
        <v>7</v>
      </c>
      <c r="DB182" s="31">
        <v>7</v>
      </c>
      <c r="DC182" s="31">
        <v>7</v>
      </c>
      <c r="DD182" s="31">
        <v>7</v>
      </c>
      <c r="DE182" s="31">
        <v>7</v>
      </c>
      <c r="DF182" s="108">
        <f t="shared" si="121"/>
        <v>3.5</v>
      </c>
      <c r="DG182" s="134">
        <f>DF182</f>
        <v>3.5</v>
      </c>
      <c r="DI182" s="826"/>
      <c r="DJ182" s="788"/>
    </row>
    <row r="183" spans="1:114" s="783" customFormat="1" hidden="1">
      <c r="A183" s="177"/>
      <c r="B183" s="187" t="s">
        <v>7</v>
      </c>
      <c r="C183" s="837" t="s">
        <v>54</v>
      </c>
      <c r="D183" s="31">
        <v>40</v>
      </c>
      <c r="E183" s="31">
        <v>50</v>
      </c>
      <c r="F183" s="31">
        <v>50</v>
      </c>
      <c r="G183" s="31">
        <v>50</v>
      </c>
      <c r="H183" s="134">
        <v>29.62</v>
      </c>
      <c r="I183" s="134"/>
      <c r="J183" s="134"/>
      <c r="K183" s="134"/>
      <c r="L183" s="134">
        <f>G183/12</f>
        <v>4.166666666666667</v>
      </c>
      <c r="M183" s="134">
        <v>0.69</v>
      </c>
      <c r="N183" s="134">
        <f>H183/12</f>
        <v>2.4683333333333333</v>
      </c>
      <c r="O183" s="134">
        <v>0.69</v>
      </c>
      <c r="P183" s="134"/>
      <c r="Q183" s="134"/>
      <c r="R183" s="134"/>
      <c r="S183" s="134"/>
      <c r="T183" s="134"/>
      <c r="U183" s="134"/>
      <c r="V183" s="134"/>
      <c r="W183" s="134"/>
      <c r="X183" s="134">
        <f>O183-N183</f>
        <v>-1.7783333333333333</v>
      </c>
      <c r="Y183" s="155">
        <f>O183/N183</f>
        <v>0.27954085077650237</v>
      </c>
      <c r="Z183" s="134">
        <v>2.4700000000000002</v>
      </c>
      <c r="AA183" s="134">
        <v>5.08</v>
      </c>
      <c r="AB183" s="134">
        <v>2.4700000000000002</v>
      </c>
      <c r="AC183" s="134"/>
      <c r="AD183" s="134"/>
      <c r="AE183" s="134"/>
      <c r="AF183" s="134"/>
      <c r="AG183" s="134"/>
      <c r="AH183" s="134"/>
      <c r="AI183" s="134"/>
      <c r="AJ183" s="134">
        <f>AC183-AB183</f>
        <v>-2.4700000000000002</v>
      </c>
      <c r="AK183" s="156">
        <f>AC183/AB183</f>
        <v>0</v>
      </c>
      <c r="AL183" s="134">
        <v>2.4700000000000002</v>
      </c>
      <c r="AM183" s="134">
        <v>5.08</v>
      </c>
      <c r="AN183" s="134">
        <v>2.4700000000000002</v>
      </c>
      <c r="AO183" s="134"/>
      <c r="AP183" s="134"/>
      <c r="AQ183" s="134"/>
      <c r="AR183" s="134"/>
      <c r="AS183" s="134"/>
      <c r="AT183" s="134"/>
      <c r="AU183" s="134"/>
      <c r="AV183" s="134">
        <f>AO183-AN183</f>
        <v>-2.4700000000000002</v>
      </c>
      <c r="AW183" s="156">
        <f>AO183/AN183</f>
        <v>0</v>
      </c>
      <c r="AX183" s="31">
        <f>G183/2</f>
        <v>25</v>
      </c>
      <c r="AY183" s="31">
        <v>0.37</v>
      </c>
      <c r="AZ183" s="109"/>
      <c r="BA183" s="62">
        <v>0.57999999999999996</v>
      </c>
      <c r="BB183" s="62"/>
      <c r="BC183" s="62">
        <v>0.71</v>
      </c>
      <c r="BD183" s="62"/>
      <c r="BE183" s="110">
        <v>0.26</v>
      </c>
      <c r="BF183" s="109">
        <v>0.6</v>
      </c>
      <c r="BG183" s="62"/>
      <c r="BH183" s="62"/>
      <c r="BI183" s="110"/>
      <c r="BJ183" s="426">
        <f t="shared" si="110"/>
        <v>0.57999999999999996</v>
      </c>
      <c r="BK183" s="427" t="e">
        <f>BA183/AZ183</f>
        <v>#DIV/0!</v>
      </c>
      <c r="BL183" s="560"/>
      <c r="BM183" s="109">
        <v>5.077</v>
      </c>
      <c r="BN183" s="62"/>
      <c r="BO183" s="470"/>
      <c r="BP183" s="64"/>
      <c r="BQ183" s="61"/>
      <c r="BR183" s="65"/>
      <c r="BS183" s="66"/>
      <c r="BT183" s="64"/>
      <c r="BU183" s="61"/>
      <c r="BV183" s="65"/>
      <c r="BW183" s="66"/>
      <c r="BX183" s="431"/>
      <c r="BY183" s="68"/>
      <c r="BZ183" s="69">
        <f t="shared" si="117"/>
        <v>5.7669999999999995</v>
      </c>
      <c r="CA183" s="70"/>
      <c r="CB183" s="71"/>
      <c r="CC183" s="72">
        <f t="shared" si="118"/>
        <v>-44.233000000000004</v>
      </c>
      <c r="CD183" s="562">
        <v>61.63</v>
      </c>
      <c r="CE183" s="561"/>
      <c r="CF183" s="73"/>
      <c r="CG183" s="74"/>
      <c r="CH183" s="74"/>
      <c r="CI183" s="74"/>
      <c r="CJ183" s="74"/>
      <c r="CK183" s="74"/>
      <c r="CL183" s="74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31">
        <v>50</v>
      </c>
      <c r="DB183" s="31">
        <v>50</v>
      </c>
      <c r="DC183" s="31">
        <v>50</v>
      </c>
      <c r="DD183" s="31">
        <v>50</v>
      </c>
      <c r="DE183" s="31">
        <v>50</v>
      </c>
      <c r="DF183" s="108">
        <f t="shared" si="121"/>
        <v>25</v>
      </c>
      <c r="DG183" s="134">
        <f>DF183</f>
        <v>25</v>
      </c>
      <c r="DI183" s="826"/>
      <c r="DJ183" s="788"/>
    </row>
    <row r="184" spans="1:114" s="783" customFormat="1" hidden="1">
      <c r="A184" s="177"/>
      <c r="B184" s="187" t="s">
        <v>65</v>
      </c>
      <c r="C184" s="837" t="s">
        <v>54</v>
      </c>
      <c r="D184" s="31">
        <v>6.25</v>
      </c>
      <c r="E184" s="31">
        <v>6.63</v>
      </c>
      <c r="F184" s="31">
        <v>6.63</v>
      </c>
      <c r="G184" s="31">
        <v>6.63</v>
      </c>
      <c r="H184" s="134"/>
      <c r="I184" s="134"/>
      <c r="J184" s="134"/>
      <c r="K184" s="134"/>
      <c r="L184" s="242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55"/>
      <c r="Z184" s="24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56"/>
      <c r="AL184" s="242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56"/>
      <c r="AX184" s="31"/>
      <c r="AY184" s="31">
        <v>7.6</v>
      </c>
      <c r="AZ184" s="109"/>
      <c r="BA184" s="62">
        <v>2.8</v>
      </c>
      <c r="BB184" s="62"/>
      <c r="BC184" s="62">
        <v>2.95</v>
      </c>
      <c r="BD184" s="62"/>
      <c r="BE184" s="110">
        <v>0.88</v>
      </c>
      <c r="BF184" s="109"/>
      <c r="BG184" s="62"/>
      <c r="BH184" s="62"/>
      <c r="BI184" s="110"/>
      <c r="BJ184" s="426">
        <f t="shared" si="110"/>
        <v>2.8</v>
      </c>
      <c r="BK184" s="427"/>
      <c r="BL184" s="560"/>
      <c r="BM184" s="109"/>
      <c r="BN184" s="62"/>
      <c r="BO184" s="470"/>
      <c r="BP184" s="64"/>
      <c r="BQ184" s="61"/>
      <c r="BR184" s="65"/>
      <c r="BS184" s="66"/>
      <c r="BT184" s="64"/>
      <c r="BU184" s="61"/>
      <c r="BV184" s="65"/>
      <c r="BW184" s="66"/>
      <c r="BX184" s="431"/>
      <c r="BY184" s="68"/>
      <c r="BZ184" s="69">
        <f t="shared" si="117"/>
        <v>0</v>
      </c>
      <c r="CA184" s="70"/>
      <c r="CB184" s="71"/>
      <c r="CC184" s="72">
        <f t="shared" si="118"/>
        <v>-6.63</v>
      </c>
      <c r="CD184" s="562">
        <v>0.96</v>
      </c>
      <c r="CE184" s="561"/>
      <c r="CF184" s="73"/>
      <c r="CG184" s="74"/>
      <c r="CH184" s="74"/>
      <c r="CI184" s="74"/>
      <c r="CJ184" s="74"/>
      <c r="CK184" s="74"/>
      <c r="CL184" s="74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31">
        <v>6.63</v>
      </c>
      <c r="DB184" s="31">
        <v>6.63</v>
      </c>
      <c r="DC184" s="31">
        <v>6.63</v>
      </c>
      <c r="DD184" s="31">
        <v>6.63</v>
      </c>
      <c r="DE184" s="31">
        <v>6.63</v>
      </c>
      <c r="DF184" s="108">
        <f t="shared" si="121"/>
        <v>3.3149999999999999</v>
      </c>
      <c r="DG184" s="134">
        <f>DF184</f>
        <v>3.3149999999999999</v>
      </c>
      <c r="DI184" s="826"/>
      <c r="DJ184" s="788"/>
    </row>
    <row r="185" spans="1:114" s="783" customFormat="1" hidden="1">
      <c r="A185" s="177"/>
      <c r="B185" s="187" t="s">
        <v>55</v>
      </c>
      <c r="C185" s="837" t="s">
        <v>54</v>
      </c>
      <c r="D185" s="31">
        <v>90</v>
      </c>
      <c r="E185" s="31"/>
      <c r="F185" s="31"/>
      <c r="G185" s="31"/>
      <c r="H185" s="134"/>
      <c r="I185" s="134"/>
      <c r="J185" s="134"/>
      <c r="K185" s="134"/>
      <c r="L185" s="242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55"/>
      <c r="Z185" s="242"/>
      <c r="AA185" s="134">
        <v>64.86</v>
      </c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56"/>
      <c r="AL185" s="242"/>
      <c r="AM185" s="134">
        <v>64.86</v>
      </c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56"/>
      <c r="AX185" s="31"/>
      <c r="AY185" s="31">
        <v>18.96</v>
      </c>
      <c r="AZ185" s="109"/>
      <c r="BA185" s="62"/>
      <c r="BB185" s="62"/>
      <c r="BC185" s="62"/>
      <c r="BD185" s="62"/>
      <c r="BE185" s="110"/>
      <c r="BF185" s="109"/>
      <c r="BG185" s="62"/>
      <c r="BH185" s="62"/>
      <c r="BI185" s="110"/>
      <c r="BJ185" s="426">
        <f t="shared" si="110"/>
        <v>0</v>
      </c>
      <c r="BK185" s="427"/>
      <c r="BL185" s="560"/>
      <c r="BM185" s="109">
        <v>64.856999999999999</v>
      </c>
      <c r="BN185" s="62"/>
      <c r="BO185" s="470"/>
      <c r="BP185" s="64"/>
      <c r="BQ185" s="61"/>
      <c r="BR185" s="65"/>
      <c r="BS185" s="66"/>
      <c r="BT185" s="64"/>
      <c r="BU185" s="61"/>
      <c r="BV185" s="65"/>
      <c r="BW185" s="66"/>
      <c r="BX185" s="431"/>
      <c r="BY185" s="68"/>
      <c r="BZ185" s="69"/>
      <c r="CA185" s="70"/>
      <c r="CB185" s="71"/>
      <c r="CC185" s="72"/>
      <c r="CD185" s="562"/>
      <c r="CE185" s="561"/>
      <c r="CF185" s="73"/>
      <c r="CG185" s="74"/>
      <c r="CH185" s="74"/>
      <c r="CI185" s="74"/>
      <c r="CJ185" s="74"/>
      <c r="CK185" s="74"/>
      <c r="CL185" s="74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31"/>
      <c r="DB185" s="31"/>
      <c r="DC185" s="31"/>
      <c r="DD185" s="31"/>
      <c r="DE185" s="31"/>
      <c r="DF185" s="108">
        <f t="shared" si="121"/>
        <v>0</v>
      </c>
      <c r="DG185" s="134"/>
      <c r="DI185" s="826"/>
      <c r="DJ185" s="788"/>
    </row>
    <row r="186" spans="1:114" s="783" customFormat="1" ht="24" hidden="1">
      <c r="A186" s="177"/>
      <c r="B186" s="187" t="s">
        <v>164</v>
      </c>
      <c r="C186" s="837" t="s">
        <v>54</v>
      </c>
      <c r="D186" s="31"/>
      <c r="E186" s="31"/>
      <c r="F186" s="31"/>
      <c r="G186" s="31"/>
      <c r="H186" s="134"/>
      <c r="I186" s="134"/>
      <c r="J186" s="134"/>
      <c r="K186" s="134"/>
      <c r="L186" s="242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55"/>
      <c r="Z186" s="24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56"/>
      <c r="AL186" s="242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56"/>
      <c r="AX186" s="31"/>
      <c r="AY186" s="31">
        <v>42.66</v>
      </c>
      <c r="AZ186" s="109"/>
      <c r="BA186" s="62"/>
      <c r="BB186" s="62"/>
      <c r="BC186" s="62"/>
      <c r="BD186" s="62"/>
      <c r="BE186" s="110"/>
      <c r="BF186" s="109"/>
      <c r="BG186" s="62">
        <v>1.65</v>
      </c>
      <c r="BH186" s="62"/>
      <c r="BI186" s="110"/>
      <c r="BJ186" s="426"/>
      <c r="BK186" s="427"/>
      <c r="BL186" s="560"/>
      <c r="BM186" s="109"/>
      <c r="BN186" s="62"/>
      <c r="BO186" s="470"/>
      <c r="BP186" s="64"/>
      <c r="BQ186" s="61"/>
      <c r="BR186" s="65"/>
      <c r="BS186" s="66"/>
      <c r="BT186" s="64"/>
      <c r="BU186" s="61"/>
      <c r="BV186" s="65"/>
      <c r="BW186" s="66"/>
      <c r="BX186" s="431"/>
      <c r="BY186" s="68"/>
      <c r="BZ186" s="69"/>
      <c r="CA186" s="70"/>
      <c r="CB186" s="71"/>
      <c r="CC186" s="72"/>
      <c r="CD186" s="562"/>
      <c r="CE186" s="561"/>
      <c r="CF186" s="73"/>
      <c r="CG186" s="74"/>
      <c r="CH186" s="74"/>
      <c r="CI186" s="74"/>
      <c r="CJ186" s="74"/>
      <c r="CK186" s="74"/>
      <c r="CL186" s="74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31"/>
      <c r="DB186" s="31"/>
      <c r="DC186" s="31"/>
      <c r="DD186" s="31"/>
      <c r="DE186" s="31"/>
      <c r="DF186" s="108">
        <f t="shared" si="121"/>
        <v>0</v>
      </c>
      <c r="DG186" s="134"/>
      <c r="DI186" s="826"/>
      <c r="DJ186" s="788"/>
    </row>
    <row r="187" spans="1:114" s="783" customFormat="1" hidden="1">
      <c r="A187" s="177"/>
      <c r="B187" s="187" t="s">
        <v>313</v>
      </c>
      <c r="C187" s="837" t="s">
        <v>54</v>
      </c>
      <c r="D187" s="31"/>
      <c r="E187" s="31"/>
      <c r="F187" s="31"/>
      <c r="G187" s="31"/>
      <c r="H187" s="134"/>
      <c r="I187" s="134"/>
      <c r="J187" s="134"/>
      <c r="K187" s="134"/>
      <c r="L187" s="242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55"/>
      <c r="Z187" s="242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56"/>
      <c r="AL187" s="242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56"/>
      <c r="AX187" s="31"/>
      <c r="AY187" s="31">
        <v>9</v>
      </c>
      <c r="AZ187" s="109"/>
      <c r="BA187" s="62"/>
      <c r="BB187" s="62"/>
      <c r="BC187" s="62"/>
      <c r="BD187" s="62"/>
      <c r="BE187" s="110"/>
      <c r="BF187" s="109"/>
      <c r="BG187" s="62"/>
      <c r="BH187" s="62"/>
      <c r="BI187" s="110"/>
      <c r="BJ187" s="426"/>
      <c r="BK187" s="427"/>
      <c r="BL187" s="560"/>
      <c r="BM187" s="109"/>
      <c r="BN187" s="62"/>
      <c r="BO187" s="470"/>
      <c r="BP187" s="64"/>
      <c r="BQ187" s="61"/>
      <c r="BR187" s="65"/>
      <c r="BS187" s="66"/>
      <c r="BT187" s="64"/>
      <c r="BU187" s="61"/>
      <c r="BV187" s="65"/>
      <c r="BW187" s="66"/>
      <c r="BX187" s="431"/>
      <c r="BY187" s="68"/>
      <c r="BZ187" s="69"/>
      <c r="CA187" s="70"/>
      <c r="CB187" s="71"/>
      <c r="CC187" s="72"/>
      <c r="CD187" s="562"/>
      <c r="CE187" s="561"/>
      <c r="CF187" s="73"/>
      <c r="CG187" s="74"/>
      <c r="CH187" s="74"/>
      <c r="CI187" s="74"/>
      <c r="CJ187" s="74"/>
      <c r="CK187" s="74"/>
      <c r="CL187" s="74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31"/>
      <c r="DB187" s="31"/>
      <c r="DC187" s="31"/>
      <c r="DD187" s="31"/>
      <c r="DE187" s="31"/>
      <c r="DF187" s="108">
        <f t="shared" si="121"/>
        <v>0</v>
      </c>
      <c r="DG187" s="134"/>
      <c r="DI187" s="826"/>
      <c r="DJ187" s="788"/>
    </row>
    <row r="188" spans="1:114" s="783" customFormat="1" hidden="1">
      <c r="A188" s="177"/>
      <c r="B188" s="187" t="s">
        <v>162</v>
      </c>
      <c r="C188" s="837" t="s">
        <v>54</v>
      </c>
      <c r="D188" s="31"/>
      <c r="E188" s="31"/>
      <c r="F188" s="31"/>
      <c r="G188" s="31"/>
      <c r="H188" s="134"/>
      <c r="I188" s="134"/>
      <c r="J188" s="134"/>
      <c r="K188" s="134"/>
      <c r="L188" s="242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55"/>
      <c r="Z188" s="242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56"/>
      <c r="AL188" s="242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56"/>
      <c r="AX188" s="31"/>
      <c r="AY188" s="31">
        <v>3.19</v>
      </c>
      <c r="AZ188" s="109"/>
      <c r="BA188" s="62"/>
      <c r="BB188" s="62"/>
      <c r="BC188" s="62"/>
      <c r="BD188" s="62"/>
      <c r="BE188" s="110"/>
      <c r="BF188" s="109"/>
      <c r="BG188" s="62"/>
      <c r="BH188" s="62"/>
      <c r="BI188" s="110"/>
      <c r="BJ188" s="426"/>
      <c r="BK188" s="427"/>
      <c r="BL188" s="560"/>
      <c r="BM188" s="109"/>
      <c r="BN188" s="62"/>
      <c r="BO188" s="470"/>
      <c r="BP188" s="64"/>
      <c r="BQ188" s="61"/>
      <c r="BR188" s="65"/>
      <c r="BS188" s="66"/>
      <c r="BT188" s="64"/>
      <c r="BU188" s="61"/>
      <c r="BV188" s="65"/>
      <c r="BW188" s="66"/>
      <c r="BX188" s="431"/>
      <c r="BY188" s="68"/>
      <c r="BZ188" s="69"/>
      <c r="CA188" s="70"/>
      <c r="CB188" s="71"/>
      <c r="CC188" s="72"/>
      <c r="CD188" s="562"/>
      <c r="CE188" s="561"/>
      <c r="CF188" s="73"/>
      <c r="CG188" s="74"/>
      <c r="CH188" s="74"/>
      <c r="CI188" s="74"/>
      <c r="CJ188" s="74"/>
      <c r="CK188" s="74"/>
      <c r="CL188" s="74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31"/>
      <c r="DB188" s="31"/>
      <c r="DC188" s="31"/>
      <c r="DD188" s="31"/>
      <c r="DE188" s="31"/>
      <c r="DF188" s="108">
        <f t="shared" si="121"/>
        <v>0</v>
      </c>
      <c r="DG188" s="134"/>
      <c r="DI188" s="826"/>
      <c r="DJ188" s="788"/>
    </row>
    <row r="189" spans="1:114" s="783" customFormat="1" hidden="1">
      <c r="A189" s="177"/>
      <c r="B189" s="187" t="s">
        <v>165</v>
      </c>
      <c r="C189" s="837" t="s">
        <v>54</v>
      </c>
      <c r="D189" s="31"/>
      <c r="E189" s="31"/>
      <c r="F189" s="31"/>
      <c r="G189" s="31"/>
      <c r="H189" s="134"/>
      <c r="I189" s="134"/>
      <c r="J189" s="134"/>
      <c r="K189" s="134"/>
      <c r="L189" s="242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55"/>
      <c r="Z189" s="242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56"/>
      <c r="AL189" s="242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56"/>
      <c r="AX189" s="31"/>
      <c r="AY189" s="31"/>
      <c r="AZ189" s="109"/>
      <c r="BA189" s="62">
        <v>48.66</v>
      </c>
      <c r="BB189" s="62"/>
      <c r="BC189" s="62">
        <v>9.5299999999999994</v>
      </c>
      <c r="BD189" s="62"/>
      <c r="BE189" s="110">
        <v>2.35</v>
      </c>
      <c r="BF189" s="109"/>
      <c r="BG189" s="62"/>
      <c r="BH189" s="62"/>
      <c r="BI189" s="110"/>
      <c r="BJ189" s="426"/>
      <c r="BK189" s="427"/>
      <c r="BL189" s="560"/>
      <c r="BM189" s="109"/>
      <c r="BN189" s="62"/>
      <c r="BO189" s="470"/>
      <c r="BP189" s="64"/>
      <c r="BQ189" s="61"/>
      <c r="BR189" s="65"/>
      <c r="BS189" s="66"/>
      <c r="BT189" s="64"/>
      <c r="BU189" s="61"/>
      <c r="BV189" s="65"/>
      <c r="BW189" s="66"/>
      <c r="BX189" s="431"/>
      <c r="BY189" s="68"/>
      <c r="BZ189" s="69"/>
      <c r="CA189" s="70"/>
      <c r="CB189" s="71"/>
      <c r="CC189" s="72"/>
      <c r="CD189" s="562"/>
      <c r="CE189" s="561"/>
      <c r="CF189" s="73"/>
      <c r="CG189" s="74"/>
      <c r="CH189" s="74"/>
      <c r="CI189" s="74"/>
      <c r="CJ189" s="74"/>
      <c r="CK189" s="74"/>
      <c r="CL189" s="74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31"/>
      <c r="DB189" s="31"/>
      <c r="DC189" s="31"/>
      <c r="DD189" s="31"/>
      <c r="DE189" s="31"/>
      <c r="DF189" s="108">
        <f t="shared" si="121"/>
        <v>0</v>
      </c>
      <c r="DG189" s="134"/>
      <c r="DI189" s="826"/>
      <c r="DJ189" s="788"/>
    </row>
    <row r="190" spans="1:114" s="783" customFormat="1" hidden="1">
      <c r="A190" s="177"/>
      <c r="B190" s="187" t="s">
        <v>212</v>
      </c>
      <c r="C190" s="837" t="s">
        <v>54</v>
      </c>
      <c r="D190" s="31"/>
      <c r="E190" s="31"/>
      <c r="F190" s="31"/>
      <c r="G190" s="31"/>
      <c r="H190" s="134"/>
      <c r="I190" s="134"/>
      <c r="J190" s="134"/>
      <c r="K190" s="134"/>
      <c r="L190" s="242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55"/>
      <c r="Z190" s="242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56"/>
      <c r="AL190" s="242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56"/>
      <c r="AX190" s="31"/>
      <c r="AY190" s="31"/>
      <c r="AZ190" s="109"/>
      <c r="BA190" s="62"/>
      <c r="BB190" s="62"/>
      <c r="BC190" s="62"/>
      <c r="BD190" s="62"/>
      <c r="BE190" s="110"/>
      <c r="BF190" s="109"/>
      <c r="BG190" s="62">
        <f>AY190</f>
        <v>0</v>
      </c>
      <c r="BH190" s="62"/>
      <c r="BI190" s="110"/>
      <c r="BJ190" s="426"/>
      <c r="BK190" s="427"/>
      <c r="BL190" s="560"/>
      <c r="BM190" s="109"/>
      <c r="BN190" s="62"/>
      <c r="BO190" s="470"/>
      <c r="BP190" s="64"/>
      <c r="BQ190" s="61"/>
      <c r="BR190" s="65"/>
      <c r="BS190" s="66"/>
      <c r="BT190" s="64"/>
      <c r="BU190" s="61"/>
      <c r="BV190" s="65"/>
      <c r="BW190" s="66"/>
      <c r="BX190" s="431"/>
      <c r="BY190" s="68"/>
      <c r="BZ190" s="69"/>
      <c r="CA190" s="70"/>
      <c r="CB190" s="71"/>
      <c r="CC190" s="72"/>
      <c r="CD190" s="562"/>
      <c r="CE190" s="561"/>
      <c r="CF190" s="73"/>
      <c r="CG190" s="74"/>
      <c r="CH190" s="74"/>
      <c r="CI190" s="74"/>
      <c r="CJ190" s="74"/>
      <c r="CK190" s="74"/>
      <c r="CL190" s="74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31"/>
      <c r="DB190" s="31"/>
      <c r="DC190" s="31"/>
      <c r="DD190" s="31"/>
      <c r="DE190" s="31"/>
      <c r="DF190" s="108">
        <f t="shared" si="121"/>
        <v>0</v>
      </c>
      <c r="DG190" s="134"/>
      <c r="DI190" s="826"/>
      <c r="DJ190" s="788"/>
    </row>
    <row r="191" spans="1:114" s="783" customFormat="1" hidden="1">
      <c r="A191" s="177"/>
      <c r="B191" s="187" t="s">
        <v>13</v>
      </c>
      <c r="C191" s="837" t="s">
        <v>54</v>
      </c>
      <c r="D191" s="31"/>
      <c r="E191" s="31"/>
      <c r="F191" s="31"/>
      <c r="G191" s="31"/>
      <c r="H191" s="134"/>
      <c r="I191" s="134"/>
      <c r="J191" s="134"/>
      <c r="K191" s="134"/>
      <c r="L191" s="242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55"/>
      <c r="Z191" s="242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56"/>
      <c r="AL191" s="242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56"/>
      <c r="AX191" s="31"/>
      <c r="AY191" s="31">
        <v>159.19</v>
      </c>
      <c r="AZ191" s="109"/>
      <c r="BA191" s="62"/>
      <c r="BB191" s="62"/>
      <c r="BC191" s="62"/>
      <c r="BD191" s="62"/>
      <c r="BE191" s="110"/>
      <c r="BF191" s="109"/>
      <c r="BG191" s="62">
        <v>6.92</v>
      </c>
      <c r="BH191" s="62"/>
      <c r="BI191" s="110"/>
      <c r="BJ191" s="426">
        <f>BA191-AZ191</f>
        <v>0</v>
      </c>
      <c r="BK191" s="427"/>
      <c r="BL191" s="560"/>
      <c r="BM191" s="109"/>
      <c r="BN191" s="62"/>
      <c r="BO191" s="470"/>
      <c r="BP191" s="64"/>
      <c r="BQ191" s="61"/>
      <c r="BR191" s="65"/>
      <c r="BS191" s="66"/>
      <c r="BT191" s="64"/>
      <c r="BU191" s="61"/>
      <c r="BV191" s="65"/>
      <c r="BW191" s="66"/>
      <c r="BX191" s="431"/>
      <c r="BY191" s="68"/>
      <c r="BZ191" s="69">
        <f>M191+BM191+BQ191+BU191</f>
        <v>0</v>
      </c>
      <c r="CA191" s="70"/>
      <c r="CB191" s="71"/>
      <c r="CC191" s="72">
        <f>BZ191-E191</f>
        <v>0</v>
      </c>
      <c r="CD191" s="562">
        <v>0.23</v>
      </c>
      <c r="CE191" s="561"/>
      <c r="CF191" s="73"/>
      <c r="CG191" s="74"/>
      <c r="CH191" s="74"/>
      <c r="CI191" s="74"/>
      <c r="CJ191" s="74"/>
      <c r="CK191" s="74"/>
      <c r="CL191" s="74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31"/>
      <c r="DB191" s="31"/>
      <c r="DC191" s="31"/>
      <c r="DD191" s="31"/>
      <c r="DE191" s="31"/>
      <c r="DF191" s="108">
        <f t="shared" si="121"/>
        <v>0</v>
      </c>
      <c r="DG191" s="134"/>
      <c r="DI191" s="826"/>
      <c r="DJ191" s="788"/>
    </row>
    <row r="192" spans="1:114" s="783" customFormat="1" hidden="1">
      <c r="A192" s="177"/>
      <c r="B192" s="187" t="s">
        <v>232</v>
      </c>
      <c r="C192" s="837" t="s">
        <v>54</v>
      </c>
      <c r="D192" s="31">
        <v>57.5</v>
      </c>
      <c r="E192" s="31">
        <v>341.36</v>
      </c>
      <c r="F192" s="31"/>
      <c r="G192" s="31"/>
      <c r="H192" s="134"/>
      <c r="I192" s="134"/>
      <c r="J192" s="134"/>
      <c r="K192" s="134"/>
      <c r="L192" s="242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55"/>
      <c r="Z192" s="242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56"/>
      <c r="AL192" s="242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56"/>
      <c r="AX192" s="31"/>
      <c r="AY192" s="31">
        <v>612.07000000000005</v>
      </c>
      <c r="AZ192" s="109"/>
      <c r="BA192" s="62">
        <v>37.47</v>
      </c>
      <c r="BB192" s="62"/>
      <c r="BC192" s="62">
        <v>37.46</v>
      </c>
      <c r="BD192" s="62"/>
      <c r="BE192" s="110"/>
      <c r="BF192" s="109"/>
      <c r="BG192" s="62"/>
      <c r="BH192" s="62"/>
      <c r="BI192" s="110"/>
      <c r="BJ192" s="426"/>
      <c r="BK192" s="427"/>
      <c r="BL192" s="560"/>
      <c r="BM192" s="109"/>
      <c r="BN192" s="62"/>
      <c r="BO192" s="470"/>
      <c r="BP192" s="64"/>
      <c r="BQ192" s="61"/>
      <c r="BR192" s="65"/>
      <c r="BS192" s="66"/>
      <c r="BT192" s="64"/>
      <c r="BU192" s="61"/>
      <c r="BV192" s="65"/>
      <c r="BW192" s="66"/>
      <c r="BX192" s="431"/>
      <c r="BY192" s="68"/>
      <c r="BZ192" s="69"/>
      <c r="CA192" s="70"/>
      <c r="CB192" s="71"/>
      <c r="CC192" s="72"/>
      <c r="CD192" s="562"/>
      <c r="CE192" s="561"/>
      <c r="CF192" s="73"/>
      <c r="CG192" s="74"/>
      <c r="CH192" s="74"/>
      <c r="CI192" s="74"/>
      <c r="CJ192" s="74"/>
      <c r="CK192" s="74"/>
      <c r="CL192" s="74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395">
        <v>341.36</v>
      </c>
      <c r="DB192" s="31">
        <v>0</v>
      </c>
      <c r="DC192" s="31"/>
      <c r="DD192" s="31"/>
      <c r="DE192" s="31"/>
      <c r="DF192" s="108">
        <f t="shared" si="121"/>
        <v>0</v>
      </c>
      <c r="DG192" s="134"/>
      <c r="DI192" s="826"/>
      <c r="DJ192" s="788"/>
    </row>
    <row r="193" spans="1:114" s="783" customFormat="1" hidden="1">
      <c r="A193" s="177"/>
      <c r="B193" s="187" t="s">
        <v>182</v>
      </c>
      <c r="C193" s="837" t="s">
        <v>54</v>
      </c>
      <c r="D193" s="31">
        <v>24</v>
      </c>
      <c r="E193" s="31">
        <v>24</v>
      </c>
      <c r="F193" s="31">
        <v>24</v>
      </c>
      <c r="G193" s="31">
        <v>24</v>
      </c>
      <c r="H193" s="134"/>
      <c r="I193" s="134"/>
      <c r="J193" s="134"/>
      <c r="K193" s="134"/>
      <c r="L193" s="242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55"/>
      <c r="Z193" s="242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56"/>
      <c r="AL193" s="242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56"/>
      <c r="AX193" s="31"/>
      <c r="AY193" s="31">
        <v>12</v>
      </c>
      <c r="AZ193" s="109"/>
      <c r="BA193" s="62">
        <v>1.03</v>
      </c>
      <c r="BB193" s="62"/>
      <c r="BC193" s="62">
        <v>1.03</v>
      </c>
      <c r="BD193" s="62"/>
      <c r="BE193" s="110"/>
      <c r="BF193" s="109"/>
      <c r="BG193" s="62"/>
      <c r="BH193" s="62"/>
      <c r="BI193" s="110"/>
      <c r="BJ193" s="426"/>
      <c r="BK193" s="427"/>
      <c r="BL193" s="560"/>
      <c r="BM193" s="109"/>
      <c r="BN193" s="62"/>
      <c r="BO193" s="470"/>
      <c r="BP193" s="64"/>
      <c r="BQ193" s="61"/>
      <c r="BR193" s="65"/>
      <c r="BS193" s="66"/>
      <c r="BT193" s="64"/>
      <c r="BU193" s="61"/>
      <c r="BV193" s="65"/>
      <c r="BW193" s="66"/>
      <c r="BX193" s="431"/>
      <c r="BY193" s="68"/>
      <c r="BZ193" s="69"/>
      <c r="CA193" s="70"/>
      <c r="CB193" s="71"/>
      <c r="CC193" s="72"/>
      <c r="CD193" s="562"/>
      <c r="CE193" s="561"/>
      <c r="CF193" s="73"/>
      <c r="CG193" s="74"/>
      <c r="CH193" s="74"/>
      <c r="CI193" s="74"/>
      <c r="CJ193" s="74"/>
      <c r="CK193" s="74"/>
      <c r="CL193" s="74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31">
        <v>24</v>
      </c>
      <c r="DB193" s="31">
        <v>24</v>
      </c>
      <c r="DC193" s="31">
        <v>24</v>
      </c>
      <c r="DD193" s="31">
        <v>24</v>
      </c>
      <c r="DE193" s="31">
        <v>24</v>
      </c>
      <c r="DF193" s="108">
        <f t="shared" si="121"/>
        <v>12</v>
      </c>
      <c r="DG193" s="134">
        <f>DF193</f>
        <v>12</v>
      </c>
      <c r="DI193" s="826"/>
      <c r="DJ193" s="788"/>
    </row>
    <row r="194" spans="1:114" s="783" customFormat="1" hidden="1">
      <c r="A194" s="177"/>
      <c r="B194" s="187" t="s">
        <v>250</v>
      </c>
      <c r="C194" s="837" t="s">
        <v>54</v>
      </c>
      <c r="D194" s="31"/>
      <c r="E194" s="31">
        <v>39.9</v>
      </c>
      <c r="F194" s="31">
        <v>39.9</v>
      </c>
      <c r="G194" s="31">
        <v>39.9</v>
      </c>
      <c r="H194" s="134"/>
      <c r="I194" s="134"/>
      <c r="J194" s="134"/>
      <c r="K194" s="134"/>
      <c r="L194" s="242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55"/>
      <c r="Z194" s="242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56"/>
      <c r="AL194" s="242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56"/>
      <c r="AX194" s="31"/>
      <c r="AY194" s="31"/>
      <c r="AZ194" s="109"/>
      <c r="BA194" s="62"/>
      <c r="BB194" s="62"/>
      <c r="BC194" s="62"/>
      <c r="BD194" s="62"/>
      <c r="BE194" s="110"/>
      <c r="BF194" s="109"/>
      <c r="BG194" s="62"/>
      <c r="BH194" s="62"/>
      <c r="BI194" s="110"/>
      <c r="BJ194" s="426"/>
      <c r="BK194" s="427"/>
      <c r="BL194" s="560"/>
      <c r="BM194" s="109"/>
      <c r="BN194" s="62"/>
      <c r="BO194" s="470"/>
      <c r="BP194" s="64"/>
      <c r="BQ194" s="61"/>
      <c r="BR194" s="65"/>
      <c r="BS194" s="66"/>
      <c r="BT194" s="64"/>
      <c r="BU194" s="61"/>
      <c r="BV194" s="65"/>
      <c r="BW194" s="66"/>
      <c r="BX194" s="431"/>
      <c r="BY194" s="68"/>
      <c r="BZ194" s="69"/>
      <c r="CA194" s="70"/>
      <c r="CB194" s="71"/>
      <c r="CC194" s="72"/>
      <c r="CD194" s="562"/>
      <c r="CE194" s="561"/>
      <c r="CF194" s="73"/>
      <c r="CG194" s="74"/>
      <c r="CH194" s="74"/>
      <c r="CI194" s="74"/>
      <c r="CJ194" s="74"/>
      <c r="CK194" s="74"/>
      <c r="CL194" s="74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31">
        <v>39.9</v>
      </c>
      <c r="DB194" s="31">
        <v>39.9</v>
      </c>
      <c r="DC194" s="31"/>
      <c r="DD194" s="31"/>
      <c r="DE194" s="31"/>
      <c r="DF194" s="108">
        <f t="shared" si="121"/>
        <v>0</v>
      </c>
      <c r="DG194" s="134">
        <f>DF194/2</f>
        <v>0</v>
      </c>
      <c r="DI194" s="826"/>
      <c r="DJ194" s="788"/>
    </row>
    <row r="195" spans="1:114" s="783" customFormat="1" hidden="1">
      <c r="A195" s="177"/>
      <c r="B195" s="187" t="s">
        <v>157</v>
      </c>
      <c r="C195" s="837" t="s">
        <v>54</v>
      </c>
      <c r="D195" s="31"/>
      <c r="E195" s="31"/>
      <c r="F195" s="31"/>
      <c r="G195" s="31"/>
      <c r="H195" s="134"/>
      <c r="I195" s="134"/>
      <c r="J195" s="134"/>
      <c r="K195" s="134"/>
      <c r="L195" s="242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55"/>
      <c r="Z195" s="242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56"/>
      <c r="AL195" s="242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56"/>
      <c r="AX195" s="31"/>
      <c r="AY195" s="31"/>
      <c r="AZ195" s="109"/>
      <c r="BA195" s="62">
        <v>1.43</v>
      </c>
      <c r="BB195" s="62"/>
      <c r="BC195" s="62">
        <v>1.42</v>
      </c>
      <c r="BD195" s="62"/>
      <c r="BE195" s="110"/>
      <c r="BF195" s="109"/>
      <c r="BG195" s="62"/>
      <c r="BH195" s="62"/>
      <c r="BI195" s="110"/>
      <c r="BJ195" s="426"/>
      <c r="BK195" s="427"/>
      <c r="BL195" s="560"/>
      <c r="BM195" s="109"/>
      <c r="BN195" s="62"/>
      <c r="BO195" s="470"/>
      <c r="BP195" s="64"/>
      <c r="BQ195" s="61"/>
      <c r="BR195" s="65"/>
      <c r="BS195" s="66"/>
      <c r="BT195" s="64"/>
      <c r="BU195" s="61"/>
      <c r="BV195" s="65"/>
      <c r="BW195" s="66"/>
      <c r="BX195" s="431"/>
      <c r="BY195" s="68"/>
      <c r="BZ195" s="69"/>
      <c r="CA195" s="70"/>
      <c r="CB195" s="71"/>
      <c r="CC195" s="72"/>
      <c r="CD195" s="562"/>
      <c r="CE195" s="561"/>
      <c r="CF195" s="73"/>
      <c r="CG195" s="74"/>
      <c r="CH195" s="74"/>
      <c r="CI195" s="74"/>
      <c r="CJ195" s="74"/>
      <c r="CK195" s="74"/>
      <c r="CL195" s="74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31"/>
      <c r="DB195" s="31"/>
      <c r="DC195" s="31"/>
      <c r="DD195" s="31"/>
      <c r="DE195" s="31"/>
      <c r="DF195" s="108">
        <f t="shared" si="121"/>
        <v>0</v>
      </c>
      <c r="DG195" s="134">
        <f>DF195/2</f>
        <v>0</v>
      </c>
      <c r="DI195" s="826"/>
      <c r="DJ195" s="788"/>
    </row>
    <row r="196" spans="1:114" s="783" customFormat="1" hidden="1">
      <c r="A196" s="177"/>
      <c r="B196" s="187" t="s">
        <v>186</v>
      </c>
      <c r="C196" s="837" t="s">
        <v>54</v>
      </c>
      <c r="D196" s="31"/>
      <c r="E196" s="31"/>
      <c r="F196" s="31"/>
      <c r="G196" s="31"/>
      <c r="H196" s="134"/>
      <c r="I196" s="134"/>
      <c r="J196" s="134"/>
      <c r="K196" s="134"/>
      <c r="L196" s="242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55"/>
      <c r="Z196" s="242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56"/>
      <c r="AL196" s="242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56"/>
      <c r="AX196" s="31"/>
      <c r="AY196" s="31"/>
      <c r="AZ196" s="109"/>
      <c r="BA196" s="62"/>
      <c r="BB196" s="62"/>
      <c r="BC196" s="62"/>
      <c r="BD196" s="62"/>
      <c r="BE196" s="110"/>
      <c r="BF196" s="109"/>
      <c r="BG196" s="62"/>
      <c r="BH196" s="62"/>
      <c r="BI196" s="110"/>
      <c r="BJ196" s="426"/>
      <c r="BK196" s="427"/>
      <c r="BL196" s="560"/>
      <c r="BM196" s="109"/>
      <c r="BN196" s="62"/>
      <c r="BO196" s="470"/>
      <c r="BP196" s="64"/>
      <c r="BQ196" s="61"/>
      <c r="BR196" s="65"/>
      <c r="BS196" s="66"/>
      <c r="BT196" s="64"/>
      <c r="BU196" s="61"/>
      <c r="BV196" s="65"/>
      <c r="BW196" s="66"/>
      <c r="BX196" s="431"/>
      <c r="BY196" s="68"/>
      <c r="BZ196" s="69"/>
      <c r="CA196" s="70"/>
      <c r="CB196" s="71"/>
      <c r="CC196" s="72"/>
      <c r="CD196" s="562"/>
      <c r="CE196" s="561"/>
      <c r="CF196" s="73"/>
      <c r="CG196" s="74"/>
      <c r="CH196" s="74"/>
      <c r="CI196" s="74"/>
      <c r="CJ196" s="74"/>
      <c r="CK196" s="74"/>
      <c r="CL196" s="74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31"/>
      <c r="DB196" s="31"/>
      <c r="DC196" s="31"/>
      <c r="DD196" s="31"/>
      <c r="DE196" s="31"/>
      <c r="DF196" s="108">
        <f t="shared" si="121"/>
        <v>0</v>
      </c>
      <c r="DG196" s="134">
        <f>DF196/2</f>
        <v>0</v>
      </c>
      <c r="DI196" s="826"/>
      <c r="DJ196" s="788"/>
    </row>
    <row r="197" spans="1:114" s="783" customFormat="1" hidden="1">
      <c r="A197" s="177"/>
      <c r="B197" s="187" t="s">
        <v>131</v>
      </c>
      <c r="C197" s="837" t="s">
        <v>54</v>
      </c>
      <c r="D197" s="31">
        <v>3.2</v>
      </c>
      <c r="E197" s="31"/>
      <c r="F197" s="31"/>
      <c r="G197" s="31"/>
      <c r="H197" s="134"/>
      <c r="I197" s="134"/>
      <c r="J197" s="134"/>
      <c r="K197" s="134"/>
      <c r="L197" s="242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55"/>
      <c r="Z197" s="242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56"/>
      <c r="AL197" s="242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56"/>
      <c r="AX197" s="31"/>
      <c r="AY197" s="31"/>
      <c r="AZ197" s="109"/>
      <c r="BA197" s="62"/>
      <c r="BB197" s="62"/>
      <c r="BC197" s="62"/>
      <c r="BD197" s="62"/>
      <c r="BE197" s="110"/>
      <c r="BF197" s="109"/>
      <c r="BG197" s="62"/>
      <c r="BH197" s="62"/>
      <c r="BI197" s="110"/>
      <c r="BJ197" s="426"/>
      <c r="BK197" s="427"/>
      <c r="BL197" s="560"/>
      <c r="BM197" s="109"/>
      <c r="BN197" s="62"/>
      <c r="BO197" s="470"/>
      <c r="BP197" s="64"/>
      <c r="BQ197" s="61"/>
      <c r="BR197" s="65"/>
      <c r="BS197" s="66"/>
      <c r="BT197" s="64"/>
      <c r="BU197" s="61"/>
      <c r="BV197" s="65"/>
      <c r="BW197" s="66"/>
      <c r="BX197" s="431"/>
      <c r="BY197" s="68"/>
      <c r="BZ197" s="69"/>
      <c r="CA197" s="70"/>
      <c r="CB197" s="71"/>
      <c r="CC197" s="72"/>
      <c r="CD197" s="562"/>
      <c r="CE197" s="561"/>
      <c r="CF197" s="73"/>
      <c r="CG197" s="74"/>
      <c r="CH197" s="74"/>
      <c r="CI197" s="74"/>
      <c r="CJ197" s="74"/>
      <c r="CK197" s="74"/>
      <c r="CL197" s="74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31"/>
      <c r="DB197" s="31"/>
      <c r="DC197" s="31"/>
      <c r="DD197" s="31"/>
      <c r="DE197" s="31"/>
      <c r="DF197" s="108">
        <f t="shared" si="121"/>
        <v>0</v>
      </c>
      <c r="DG197" s="134">
        <f>DF197/2</f>
        <v>0</v>
      </c>
      <c r="DI197" s="826"/>
      <c r="DJ197" s="788"/>
    </row>
    <row r="198" spans="1:114" s="783" customFormat="1" hidden="1">
      <c r="A198" s="177"/>
      <c r="B198" s="187" t="s">
        <v>56</v>
      </c>
      <c r="C198" s="837" t="s">
        <v>54</v>
      </c>
      <c r="D198" s="31"/>
      <c r="E198" s="31"/>
      <c r="F198" s="31"/>
      <c r="G198" s="31"/>
      <c r="H198" s="134"/>
      <c r="I198" s="134"/>
      <c r="J198" s="134"/>
      <c r="K198" s="134"/>
      <c r="L198" s="242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55"/>
      <c r="Z198" s="242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56"/>
      <c r="AL198" s="242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56"/>
      <c r="AX198" s="31"/>
      <c r="AY198" s="31"/>
      <c r="AZ198" s="109"/>
      <c r="BA198" s="62">
        <v>7.7</v>
      </c>
      <c r="BB198" s="62"/>
      <c r="BC198" s="62"/>
      <c r="BD198" s="62"/>
      <c r="BE198" s="110"/>
      <c r="BF198" s="109"/>
      <c r="BG198" s="62"/>
      <c r="BH198" s="62"/>
      <c r="BI198" s="110"/>
      <c r="BJ198" s="426"/>
      <c r="BK198" s="427"/>
      <c r="BL198" s="560"/>
      <c r="BM198" s="109"/>
      <c r="BN198" s="62"/>
      <c r="BO198" s="470"/>
      <c r="BP198" s="64"/>
      <c r="BQ198" s="61"/>
      <c r="BR198" s="65"/>
      <c r="BS198" s="66"/>
      <c r="BT198" s="64"/>
      <c r="BU198" s="61"/>
      <c r="BV198" s="65"/>
      <c r="BW198" s="66"/>
      <c r="BX198" s="431"/>
      <c r="BY198" s="68"/>
      <c r="BZ198" s="69"/>
      <c r="CA198" s="70"/>
      <c r="CB198" s="71"/>
      <c r="CC198" s="72"/>
      <c r="CD198" s="562"/>
      <c r="CE198" s="561"/>
      <c r="CF198" s="73"/>
      <c r="CG198" s="74"/>
      <c r="CH198" s="74"/>
      <c r="CI198" s="74"/>
      <c r="CJ198" s="74"/>
      <c r="CK198" s="74"/>
      <c r="CL198" s="74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31"/>
      <c r="DB198" s="31"/>
      <c r="DC198" s="31"/>
      <c r="DD198" s="31"/>
      <c r="DE198" s="31"/>
      <c r="DF198" s="108">
        <f t="shared" si="121"/>
        <v>0</v>
      </c>
      <c r="DG198" s="134">
        <f>DF198/2</f>
        <v>0</v>
      </c>
      <c r="DI198" s="826"/>
      <c r="DJ198" s="788"/>
    </row>
    <row r="199" spans="1:114" s="783" customFormat="1" ht="36" hidden="1">
      <c r="A199" s="177"/>
      <c r="B199" s="187" t="s">
        <v>32</v>
      </c>
      <c r="C199" s="837" t="s">
        <v>54</v>
      </c>
      <c r="D199" s="31">
        <v>48</v>
      </c>
      <c r="E199" s="31">
        <v>48</v>
      </c>
      <c r="F199" s="31">
        <v>48</v>
      </c>
      <c r="G199" s="31">
        <v>48</v>
      </c>
      <c r="H199" s="134"/>
      <c r="I199" s="134"/>
      <c r="J199" s="134"/>
      <c r="K199" s="134"/>
      <c r="L199" s="242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55"/>
      <c r="Z199" s="242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56"/>
      <c r="AL199" s="242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56"/>
      <c r="AX199" s="31"/>
      <c r="AY199" s="31">
        <v>68.42</v>
      </c>
      <c r="AZ199" s="109"/>
      <c r="BA199" s="62">
        <v>24.67</v>
      </c>
      <c r="BB199" s="62"/>
      <c r="BC199" s="62">
        <v>16.149999999999999</v>
      </c>
      <c r="BD199" s="62"/>
      <c r="BE199" s="110">
        <v>7.92</v>
      </c>
      <c r="BF199" s="109"/>
      <c r="BG199" s="62"/>
      <c r="BH199" s="62"/>
      <c r="BI199" s="110"/>
      <c r="BJ199" s="426">
        <f>BA199-AZ199</f>
        <v>24.67</v>
      </c>
      <c r="BK199" s="427"/>
      <c r="BL199" s="560"/>
      <c r="BM199" s="109"/>
      <c r="BN199" s="62"/>
      <c r="BO199" s="470"/>
      <c r="BP199" s="64"/>
      <c r="BQ199" s="61"/>
      <c r="BR199" s="65"/>
      <c r="BS199" s="66"/>
      <c r="BT199" s="64"/>
      <c r="BU199" s="61"/>
      <c r="BV199" s="65"/>
      <c r="BW199" s="66"/>
      <c r="BX199" s="431"/>
      <c r="BY199" s="68"/>
      <c r="BZ199" s="69">
        <f>M199+BM199+BQ199+BU199</f>
        <v>0</v>
      </c>
      <c r="CA199" s="70"/>
      <c r="CB199" s="71"/>
      <c r="CC199" s="72">
        <f>BZ199-E199</f>
        <v>-48</v>
      </c>
      <c r="CD199" s="562">
        <v>47.26</v>
      </c>
      <c r="CE199" s="561"/>
      <c r="CF199" s="73"/>
      <c r="CG199" s="74"/>
      <c r="CH199" s="74"/>
      <c r="CI199" s="74"/>
      <c r="CJ199" s="74"/>
      <c r="CK199" s="74"/>
      <c r="CL199" s="74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31">
        <v>48</v>
      </c>
      <c r="DB199" s="31">
        <v>48</v>
      </c>
      <c r="DC199" s="31">
        <v>48</v>
      </c>
      <c r="DD199" s="31">
        <v>57.56</v>
      </c>
      <c r="DE199" s="31">
        <v>48</v>
      </c>
      <c r="DF199" s="108">
        <f t="shared" si="121"/>
        <v>24</v>
      </c>
      <c r="DG199" s="134">
        <v>24</v>
      </c>
      <c r="DI199" s="826"/>
      <c r="DJ199" s="788"/>
    </row>
    <row r="200" spans="1:114" s="783" customFormat="1" hidden="1">
      <c r="A200" s="177"/>
      <c r="B200" s="187" t="s">
        <v>246</v>
      </c>
      <c r="C200" s="837" t="s">
        <v>54</v>
      </c>
      <c r="D200" s="31">
        <v>390</v>
      </c>
      <c r="E200" s="31">
        <v>330</v>
      </c>
      <c r="F200" s="31">
        <v>330</v>
      </c>
      <c r="G200" s="31">
        <v>330</v>
      </c>
      <c r="H200" s="134"/>
      <c r="I200" s="134"/>
      <c r="J200" s="134"/>
      <c r="K200" s="134"/>
      <c r="L200" s="242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55"/>
      <c r="Z200" s="242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56"/>
      <c r="AL200" s="242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56"/>
      <c r="AX200" s="31"/>
      <c r="AY200" s="31"/>
      <c r="AZ200" s="109"/>
      <c r="BA200" s="62"/>
      <c r="BB200" s="62"/>
      <c r="BC200" s="62"/>
      <c r="BD200" s="62"/>
      <c r="BE200" s="110"/>
      <c r="BF200" s="109"/>
      <c r="BG200" s="62"/>
      <c r="BH200" s="62"/>
      <c r="BI200" s="110"/>
      <c r="BJ200" s="426"/>
      <c r="BK200" s="427"/>
      <c r="BL200" s="560"/>
      <c r="BM200" s="109"/>
      <c r="BN200" s="62"/>
      <c r="BO200" s="470"/>
      <c r="BP200" s="64"/>
      <c r="BQ200" s="61"/>
      <c r="BR200" s="65"/>
      <c r="BS200" s="66"/>
      <c r="BT200" s="64"/>
      <c r="BU200" s="61"/>
      <c r="BV200" s="65"/>
      <c r="BW200" s="66"/>
      <c r="BX200" s="431"/>
      <c r="BY200" s="68"/>
      <c r="BZ200" s="69"/>
      <c r="CA200" s="70"/>
      <c r="CB200" s="71"/>
      <c r="CC200" s="72"/>
      <c r="CD200" s="562"/>
      <c r="CE200" s="561"/>
      <c r="CF200" s="73"/>
      <c r="CG200" s="74"/>
      <c r="CH200" s="74"/>
      <c r="CI200" s="74"/>
      <c r="CJ200" s="74"/>
      <c r="CK200" s="74"/>
      <c r="CL200" s="74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31">
        <v>330</v>
      </c>
      <c r="DB200" s="31">
        <v>330</v>
      </c>
      <c r="DC200" s="31">
        <v>330</v>
      </c>
      <c r="DD200" s="31"/>
      <c r="DE200" s="31">
        <v>330</v>
      </c>
      <c r="DF200" s="108">
        <f t="shared" si="121"/>
        <v>165</v>
      </c>
      <c r="DG200" s="134">
        <f t="shared" ref="DG200:DG233" si="122">DF200</f>
        <v>165</v>
      </c>
      <c r="DI200" s="826"/>
      <c r="DJ200" s="788"/>
    </row>
    <row r="201" spans="1:114" s="783" customFormat="1" hidden="1">
      <c r="A201" s="177"/>
      <c r="B201" s="187" t="s">
        <v>9</v>
      </c>
      <c r="C201" s="837" t="s">
        <v>54</v>
      </c>
      <c r="D201" s="31">
        <v>72</v>
      </c>
      <c r="E201" s="31">
        <v>72</v>
      </c>
      <c r="F201" s="31">
        <v>72</v>
      </c>
      <c r="G201" s="31">
        <v>72</v>
      </c>
      <c r="H201" s="134">
        <v>72</v>
      </c>
      <c r="I201" s="134"/>
      <c r="J201" s="134"/>
      <c r="K201" s="134"/>
      <c r="L201" s="134">
        <f>G201/12</f>
        <v>6</v>
      </c>
      <c r="M201" s="134">
        <v>6</v>
      </c>
      <c r="N201" s="134">
        <f>H201/12</f>
        <v>6</v>
      </c>
      <c r="O201" s="134">
        <v>6</v>
      </c>
      <c r="P201" s="134"/>
      <c r="Q201" s="134"/>
      <c r="R201" s="134"/>
      <c r="S201" s="134"/>
      <c r="T201" s="134"/>
      <c r="U201" s="134"/>
      <c r="V201" s="134"/>
      <c r="W201" s="134"/>
      <c r="X201" s="134">
        <f>O201-N201</f>
        <v>0</v>
      </c>
      <c r="Y201" s="155">
        <f>O201/N201</f>
        <v>1</v>
      </c>
      <c r="Z201" s="134">
        <v>6</v>
      </c>
      <c r="AA201" s="134">
        <v>6</v>
      </c>
      <c r="AB201" s="134">
        <v>6</v>
      </c>
      <c r="AC201" s="134"/>
      <c r="AD201" s="134"/>
      <c r="AE201" s="134"/>
      <c r="AF201" s="134"/>
      <c r="AG201" s="134"/>
      <c r="AH201" s="134"/>
      <c r="AI201" s="134"/>
      <c r="AJ201" s="134">
        <f>AC201-AB201</f>
        <v>-6</v>
      </c>
      <c r="AK201" s="156">
        <f>AC201/AB201</f>
        <v>0</v>
      </c>
      <c r="AL201" s="134">
        <v>6</v>
      </c>
      <c r="AM201" s="134">
        <v>6</v>
      </c>
      <c r="AN201" s="134">
        <v>6</v>
      </c>
      <c r="AO201" s="134"/>
      <c r="AP201" s="134"/>
      <c r="AQ201" s="134"/>
      <c r="AR201" s="134"/>
      <c r="AS201" s="134"/>
      <c r="AT201" s="134"/>
      <c r="AU201" s="134"/>
      <c r="AV201" s="134">
        <f>AO201-AN201</f>
        <v>-6</v>
      </c>
      <c r="AW201" s="156">
        <f>AO201/AN201</f>
        <v>0</v>
      </c>
      <c r="AX201" s="31">
        <f>G201/2</f>
        <v>36</v>
      </c>
      <c r="AY201" s="31">
        <v>71.489999999999995</v>
      </c>
      <c r="AZ201" s="109"/>
      <c r="BA201" s="62">
        <v>40.380000000000003</v>
      </c>
      <c r="BB201" s="62"/>
      <c r="BC201" s="62">
        <v>28.23</v>
      </c>
      <c r="BD201" s="62"/>
      <c r="BE201" s="110">
        <v>2.88</v>
      </c>
      <c r="BF201" s="109">
        <v>0.51</v>
      </c>
      <c r="BG201" s="62"/>
      <c r="BH201" s="62"/>
      <c r="BI201" s="110"/>
      <c r="BJ201" s="426">
        <f>BA201-AZ201</f>
        <v>40.380000000000003</v>
      </c>
      <c r="BK201" s="427" t="e">
        <f>BA201/AZ201</f>
        <v>#DIV/0!</v>
      </c>
      <c r="BL201" s="560"/>
      <c r="BM201" s="109">
        <v>6</v>
      </c>
      <c r="BN201" s="62"/>
      <c r="BO201" s="470"/>
      <c r="BP201" s="64"/>
      <c r="BQ201" s="61"/>
      <c r="BR201" s="65"/>
      <c r="BS201" s="66"/>
      <c r="BT201" s="64"/>
      <c r="BU201" s="61"/>
      <c r="BV201" s="65"/>
      <c r="BW201" s="66"/>
      <c r="BX201" s="431"/>
      <c r="BY201" s="68"/>
      <c r="BZ201" s="69">
        <f>M201+BM201+BQ201+BU201</f>
        <v>12</v>
      </c>
      <c r="CA201" s="70"/>
      <c r="CB201" s="71"/>
      <c r="CC201" s="72">
        <f>BZ201-E201</f>
        <v>-60</v>
      </c>
      <c r="CD201" s="562">
        <v>72</v>
      </c>
      <c r="CE201" s="561"/>
      <c r="CF201" s="73"/>
      <c r="CG201" s="74"/>
      <c r="CH201" s="74"/>
      <c r="CI201" s="74"/>
      <c r="CJ201" s="74"/>
      <c r="CK201" s="74"/>
      <c r="CL201" s="74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31">
        <v>72</v>
      </c>
      <c r="DB201" s="31">
        <v>72</v>
      </c>
      <c r="DC201" s="31">
        <v>72</v>
      </c>
      <c r="DD201" s="31">
        <v>72</v>
      </c>
      <c r="DE201" s="31">
        <v>72</v>
      </c>
      <c r="DF201" s="108">
        <f t="shared" si="121"/>
        <v>36</v>
      </c>
      <c r="DG201" s="134">
        <f t="shared" si="122"/>
        <v>36</v>
      </c>
      <c r="DI201" s="826"/>
      <c r="DJ201" s="788"/>
    </row>
    <row r="202" spans="1:114" s="783" customFormat="1" ht="24" hidden="1">
      <c r="A202" s="177"/>
      <c r="B202" s="187" t="s">
        <v>134</v>
      </c>
      <c r="C202" s="837" t="s">
        <v>54</v>
      </c>
      <c r="D202" s="31">
        <v>14.5</v>
      </c>
      <c r="E202" s="31">
        <v>14.54</v>
      </c>
      <c r="F202" s="31">
        <v>14.54</v>
      </c>
      <c r="G202" s="31">
        <v>14.54</v>
      </c>
      <c r="H202" s="134"/>
      <c r="I202" s="134"/>
      <c r="J202" s="134"/>
      <c r="K202" s="134"/>
      <c r="L202" s="242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55"/>
      <c r="Z202" s="242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56"/>
      <c r="AL202" s="242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56"/>
      <c r="AX202" s="31"/>
      <c r="AY202" s="31"/>
      <c r="AZ202" s="109"/>
      <c r="BA202" s="62">
        <v>7.45</v>
      </c>
      <c r="BB202" s="62"/>
      <c r="BC202" s="62">
        <v>6.22</v>
      </c>
      <c r="BD202" s="62"/>
      <c r="BE202" s="110">
        <v>0.87</v>
      </c>
      <c r="BF202" s="109"/>
      <c r="BG202" s="62"/>
      <c r="BH202" s="62"/>
      <c r="BI202" s="110"/>
      <c r="BJ202" s="426"/>
      <c r="BK202" s="427"/>
      <c r="BL202" s="560"/>
      <c r="BM202" s="109"/>
      <c r="BN202" s="62"/>
      <c r="BO202" s="470"/>
      <c r="BP202" s="64"/>
      <c r="BQ202" s="61"/>
      <c r="BR202" s="65"/>
      <c r="BS202" s="66"/>
      <c r="BT202" s="64"/>
      <c r="BU202" s="61"/>
      <c r="BV202" s="65"/>
      <c r="BW202" s="66"/>
      <c r="BX202" s="431"/>
      <c r="BY202" s="68"/>
      <c r="BZ202" s="69"/>
      <c r="CA202" s="70"/>
      <c r="CB202" s="71"/>
      <c r="CC202" s="72"/>
      <c r="CD202" s="562"/>
      <c r="CE202" s="561"/>
      <c r="CF202" s="73"/>
      <c r="CG202" s="74"/>
      <c r="CH202" s="74"/>
      <c r="CI202" s="74"/>
      <c r="CJ202" s="74"/>
      <c r="CK202" s="74"/>
      <c r="CL202" s="74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31">
        <v>14.54</v>
      </c>
      <c r="DB202" s="31">
        <v>14.54</v>
      </c>
      <c r="DC202" s="31">
        <v>14.54</v>
      </c>
      <c r="DD202" s="31">
        <v>10.71</v>
      </c>
      <c r="DE202" s="31">
        <v>14.54</v>
      </c>
      <c r="DF202" s="108">
        <f t="shared" si="121"/>
        <v>7.27</v>
      </c>
      <c r="DG202" s="134">
        <f t="shared" si="122"/>
        <v>7.27</v>
      </c>
      <c r="DI202" s="826"/>
      <c r="DJ202" s="788"/>
    </row>
    <row r="203" spans="1:114" s="783" customFormat="1" ht="24" hidden="1">
      <c r="A203" s="177"/>
      <c r="B203" s="187" t="s">
        <v>201</v>
      </c>
      <c r="C203" s="837" t="s">
        <v>54</v>
      </c>
      <c r="D203" s="31"/>
      <c r="E203" s="31">
        <v>4</v>
      </c>
      <c r="F203" s="31">
        <v>4</v>
      </c>
      <c r="G203" s="31">
        <v>4</v>
      </c>
      <c r="H203" s="134"/>
      <c r="I203" s="134"/>
      <c r="J203" s="134"/>
      <c r="K203" s="134"/>
      <c r="L203" s="242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55"/>
      <c r="Z203" s="242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56"/>
      <c r="AL203" s="242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56"/>
      <c r="AX203" s="31"/>
      <c r="AY203" s="31">
        <v>6.5</v>
      </c>
      <c r="AZ203" s="109"/>
      <c r="BA203" s="62">
        <v>3.8</v>
      </c>
      <c r="BB203" s="62"/>
      <c r="BC203" s="62"/>
      <c r="BD203" s="62"/>
      <c r="BE203" s="110"/>
      <c r="BF203" s="109"/>
      <c r="BG203" s="62"/>
      <c r="BH203" s="62"/>
      <c r="BI203" s="110"/>
      <c r="BJ203" s="426"/>
      <c r="BK203" s="427"/>
      <c r="BL203" s="560"/>
      <c r="BM203" s="109"/>
      <c r="BN203" s="62"/>
      <c r="BO203" s="470"/>
      <c r="BP203" s="64"/>
      <c r="BQ203" s="61"/>
      <c r="BR203" s="65"/>
      <c r="BS203" s="66"/>
      <c r="BT203" s="64"/>
      <c r="BU203" s="61"/>
      <c r="BV203" s="65"/>
      <c r="BW203" s="66"/>
      <c r="BX203" s="431"/>
      <c r="BY203" s="68"/>
      <c r="BZ203" s="69"/>
      <c r="CA203" s="70"/>
      <c r="CB203" s="71"/>
      <c r="CC203" s="72"/>
      <c r="CD203" s="562"/>
      <c r="CE203" s="561"/>
      <c r="CF203" s="73"/>
      <c r="CG203" s="74"/>
      <c r="CH203" s="74"/>
      <c r="CI203" s="74"/>
      <c r="CJ203" s="74"/>
      <c r="CK203" s="74"/>
      <c r="CL203" s="74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31">
        <v>4</v>
      </c>
      <c r="DB203" s="31">
        <v>4</v>
      </c>
      <c r="DC203" s="31">
        <v>4</v>
      </c>
      <c r="DD203" s="31"/>
      <c r="DE203" s="31">
        <v>4</v>
      </c>
      <c r="DF203" s="108">
        <f t="shared" si="121"/>
        <v>2</v>
      </c>
      <c r="DG203" s="134">
        <f t="shared" si="122"/>
        <v>2</v>
      </c>
      <c r="DI203" s="826"/>
      <c r="DJ203" s="788"/>
    </row>
    <row r="204" spans="1:114" s="783" customFormat="1" hidden="1">
      <c r="A204" s="177"/>
      <c r="B204" s="187" t="s">
        <v>67</v>
      </c>
      <c r="C204" s="837" t="s">
        <v>54</v>
      </c>
      <c r="D204" s="31">
        <v>8</v>
      </c>
      <c r="E204" s="31">
        <v>8</v>
      </c>
      <c r="F204" s="31">
        <v>8</v>
      </c>
      <c r="G204" s="31">
        <v>8</v>
      </c>
      <c r="H204" s="134">
        <v>3</v>
      </c>
      <c r="I204" s="134"/>
      <c r="J204" s="134"/>
      <c r="K204" s="134"/>
      <c r="L204" s="134">
        <f>G204/12</f>
        <v>0.66666666666666663</v>
      </c>
      <c r="M204" s="134">
        <v>5.3</v>
      </c>
      <c r="N204" s="134">
        <f>H204/12</f>
        <v>0.25</v>
      </c>
      <c r="O204" s="134">
        <v>5.3</v>
      </c>
      <c r="P204" s="134"/>
      <c r="Q204" s="134"/>
      <c r="R204" s="134"/>
      <c r="S204" s="134"/>
      <c r="T204" s="134"/>
      <c r="U204" s="134"/>
      <c r="V204" s="134"/>
      <c r="W204" s="134"/>
      <c r="X204" s="134">
        <f>O204-N204</f>
        <v>5.05</v>
      </c>
      <c r="Y204" s="155">
        <f>O204/N204</f>
        <v>21.2</v>
      </c>
      <c r="Z204" s="134">
        <v>0.25</v>
      </c>
      <c r="AA204" s="134"/>
      <c r="AB204" s="134">
        <v>0.25</v>
      </c>
      <c r="AC204" s="134"/>
      <c r="AD204" s="134"/>
      <c r="AE204" s="134"/>
      <c r="AF204" s="134"/>
      <c r="AG204" s="134"/>
      <c r="AH204" s="134"/>
      <c r="AI204" s="134"/>
      <c r="AJ204" s="134">
        <f>AC204-AB204</f>
        <v>-0.25</v>
      </c>
      <c r="AK204" s="156">
        <f>AC204/AB204</f>
        <v>0</v>
      </c>
      <c r="AL204" s="134">
        <v>0.25</v>
      </c>
      <c r="AM204" s="134"/>
      <c r="AN204" s="134">
        <v>0.25</v>
      </c>
      <c r="AO204" s="134"/>
      <c r="AP204" s="134"/>
      <c r="AQ204" s="134"/>
      <c r="AR204" s="134"/>
      <c r="AS204" s="134"/>
      <c r="AT204" s="134"/>
      <c r="AU204" s="134"/>
      <c r="AV204" s="134">
        <f>AO204-AN204</f>
        <v>-0.25</v>
      </c>
      <c r="AW204" s="156">
        <f>AO204/AN204</f>
        <v>0</v>
      </c>
      <c r="AX204" s="31">
        <f>G204/2</f>
        <v>4</v>
      </c>
      <c r="AY204" s="31"/>
      <c r="AZ204" s="109"/>
      <c r="BA204" s="62"/>
      <c r="BB204" s="62"/>
      <c r="BC204" s="62"/>
      <c r="BD204" s="62"/>
      <c r="BE204" s="110"/>
      <c r="BF204" s="109"/>
      <c r="BG204" s="62"/>
      <c r="BH204" s="62"/>
      <c r="BI204" s="110"/>
      <c r="BJ204" s="426">
        <f>BA204-AZ204</f>
        <v>0</v>
      </c>
      <c r="BK204" s="427" t="e">
        <f>BA204/AZ204</f>
        <v>#DIV/0!</v>
      </c>
      <c r="BL204" s="560"/>
      <c r="BM204" s="109"/>
      <c r="BN204" s="62"/>
      <c r="BO204" s="470"/>
      <c r="BP204" s="64"/>
      <c r="BQ204" s="61"/>
      <c r="BR204" s="65"/>
      <c r="BS204" s="66"/>
      <c r="BT204" s="64"/>
      <c r="BU204" s="61"/>
      <c r="BV204" s="65"/>
      <c r="BW204" s="66"/>
      <c r="BX204" s="431"/>
      <c r="BY204" s="68"/>
      <c r="BZ204" s="69">
        <f>M204+BM204+BQ204+BU204</f>
        <v>5.3</v>
      </c>
      <c r="CA204" s="70"/>
      <c r="CB204" s="71"/>
      <c r="CC204" s="72">
        <f>BZ204-E204</f>
        <v>-2.7</v>
      </c>
      <c r="CD204" s="562">
        <v>7.5</v>
      </c>
      <c r="CE204" s="561"/>
      <c r="CF204" s="73"/>
      <c r="CG204" s="74"/>
      <c r="CH204" s="74"/>
      <c r="CI204" s="74"/>
      <c r="CJ204" s="74"/>
      <c r="CK204" s="74"/>
      <c r="CL204" s="74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31">
        <v>8</v>
      </c>
      <c r="DB204" s="31">
        <v>8</v>
      </c>
      <c r="DC204" s="31">
        <v>8</v>
      </c>
      <c r="DD204" s="31">
        <v>6.4</v>
      </c>
      <c r="DE204" s="31">
        <v>8</v>
      </c>
      <c r="DF204" s="108">
        <f t="shared" si="121"/>
        <v>4</v>
      </c>
      <c r="DG204" s="134">
        <f t="shared" si="122"/>
        <v>4</v>
      </c>
      <c r="DI204" s="826"/>
      <c r="DJ204" s="788"/>
    </row>
    <row r="205" spans="1:114" s="783" customFormat="1" hidden="1">
      <c r="A205" s="177"/>
      <c r="B205" s="187" t="s">
        <v>314</v>
      </c>
      <c r="C205" s="837" t="s">
        <v>54</v>
      </c>
      <c r="D205" s="31"/>
      <c r="E205" s="31"/>
      <c r="F205" s="31"/>
      <c r="G205" s="31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55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56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56"/>
      <c r="AX205" s="31"/>
      <c r="AY205" s="31">
        <v>0.82</v>
      </c>
      <c r="AZ205" s="109"/>
      <c r="BA205" s="62"/>
      <c r="BB205" s="62"/>
      <c r="BC205" s="62"/>
      <c r="BD205" s="62"/>
      <c r="BE205" s="110"/>
      <c r="BF205" s="109"/>
      <c r="BG205" s="62"/>
      <c r="BH205" s="62"/>
      <c r="BI205" s="110"/>
      <c r="BJ205" s="426"/>
      <c r="BK205" s="427"/>
      <c r="BL205" s="560"/>
      <c r="BM205" s="109"/>
      <c r="BN205" s="62"/>
      <c r="BO205" s="470"/>
      <c r="BP205" s="64"/>
      <c r="BQ205" s="61"/>
      <c r="BR205" s="65"/>
      <c r="BS205" s="66"/>
      <c r="BT205" s="64"/>
      <c r="BU205" s="61"/>
      <c r="BV205" s="65"/>
      <c r="BW205" s="66"/>
      <c r="BX205" s="431"/>
      <c r="BY205" s="68"/>
      <c r="BZ205" s="69"/>
      <c r="CA205" s="70"/>
      <c r="CB205" s="71"/>
      <c r="CC205" s="72"/>
      <c r="CD205" s="562"/>
      <c r="CE205" s="561"/>
      <c r="CF205" s="73"/>
      <c r="CG205" s="74"/>
      <c r="CH205" s="74"/>
      <c r="CI205" s="74"/>
      <c r="CJ205" s="74"/>
      <c r="CK205" s="74"/>
      <c r="CL205" s="74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31"/>
      <c r="DB205" s="31"/>
      <c r="DC205" s="31"/>
      <c r="DD205" s="31"/>
      <c r="DE205" s="31"/>
      <c r="DF205" s="108">
        <f t="shared" si="121"/>
        <v>0</v>
      </c>
      <c r="DG205" s="134">
        <f t="shared" si="122"/>
        <v>0</v>
      </c>
      <c r="DI205" s="826"/>
      <c r="DJ205" s="788"/>
    </row>
    <row r="206" spans="1:114" s="783" customFormat="1" hidden="1">
      <c r="A206" s="177"/>
      <c r="B206" s="187" t="s">
        <v>315</v>
      </c>
      <c r="C206" s="837" t="s">
        <v>54</v>
      </c>
      <c r="D206" s="31"/>
      <c r="E206" s="31"/>
      <c r="F206" s="31"/>
      <c r="G206" s="31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55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56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56"/>
      <c r="AX206" s="31"/>
      <c r="AY206" s="31">
        <v>9.9600000000000009</v>
      </c>
      <c r="AZ206" s="109"/>
      <c r="BA206" s="62"/>
      <c r="BB206" s="62"/>
      <c r="BC206" s="62"/>
      <c r="BD206" s="62"/>
      <c r="BE206" s="110"/>
      <c r="BF206" s="109"/>
      <c r="BG206" s="62"/>
      <c r="BH206" s="62"/>
      <c r="BI206" s="110"/>
      <c r="BJ206" s="426"/>
      <c r="BK206" s="427"/>
      <c r="BL206" s="560"/>
      <c r="BM206" s="109"/>
      <c r="BN206" s="62"/>
      <c r="BO206" s="470"/>
      <c r="BP206" s="64"/>
      <c r="BQ206" s="61"/>
      <c r="BR206" s="65"/>
      <c r="BS206" s="66"/>
      <c r="BT206" s="64"/>
      <c r="BU206" s="61"/>
      <c r="BV206" s="65"/>
      <c r="BW206" s="66"/>
      <c r="BX206" s="431"/>
      <c r="BY206" s="68"/>
      <c r="BZ206" s="69"/>
      <c r="CA206" s="70"/>
      <c r="CB206" s="71"/>
      <c r="CC206" s="72"/>
      <c r="CD206" s="562"/>
      <c r="CE206" s="561"/>
      <c r="CF206" s="73"/>
      <c r="CG206" s="74"/>
      <c r="CH206" s="74"/>
      <c r="CI206" s="74"/>
      <c r="CJ206" s="74"/>
      <c r="CK206" s="74"/>
      <c r="CL206" s="74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31"/>
      <c r="DB206" s="31"/>
      <c r="DC206" s="31"/>
      <c r="DD206" s="31"/>
      <c r="DE206" s="31"/>
      <c r="DF206" s="108">
        <f t="shared" si="121"/>
        <v>0</v>
      </c>
      <c r="DG206" s="134">
        <f t="shared" si="122"/>
        <v>0</v>
      </c>
      <c r="DI206" s="826"/>
      <c r="DJ206" s="788"/>
    </row>
    <row r="207" spans="1:114" s="783" customFormat="1" hidden="1">
      <c r="A207" s="177"/>
      <c r="B207" s="187" t="s">
        <v>281</v>
      </c>
      <c r="C207" s="837" t="s">
        <v>54</v>
      </c>
      <c r="D207" s="31">
        <v>25</v>
      </c>
      <c r="E207" s="31">
        <v>25</v>
      </c>
      <c r="F207" s="31">
        <v>25</v>
      </c>
      <c r="G207" s="31">
        <v>25</v>
      </c>
      <c r="H207" s="134"/>
      <c r="I207" s="134"/>
      <c r="J207" s="134"/>
      <c r="K207" s="134"/>
      <c r="L207" s="242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55"/>
      <c r="Z207" s="242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56"/>
      <c r="AL207" s="242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56"/>
      <c r="AX207" s="31"/>
      <c r="AY207" s="31">
        <v>18.7</v>
      </c>
      <c r="AZ207" s="109"/>
      <c r="BA207" s="62">
        <v>12.5</v>
      </c>
      <c r="BB207" s="62"/>
      <c r="BC207" s="62">
        <v>12.5</v>
      </c>
      <c r="BD207" s="62"/>
      <c r="BE207" s="110">
        <v>14</v>
      </c>
      <c r="BF207" s="109"/>
      <c r="BG207" s="62"/>
      <c r="BH207" s="62"/>
      <c r="BI207" s="110"/>
      <c r="BJ207" s="426">
        <f>BA207-AZ207</f>
        <v>12.5</v>
      </c>
      <c r="BK207" s="427"/>
      <c r="BL207" s="560"/>
      <c r="BM207" s="109"/>
      <c r="BN207" s="62"/>
      <c r="BO207" s="470"/>
      <c r="BP207" s="64"/>
      <c r="BQ207" s="61"/>
      <c r="BR207" s="65"/>
      <c r="BS207" s="66"/>
      <c r="BT207" s="64"/>
      <c r="BU207" s="61"/>
      <c r="BV207" s="65"/>
      <c r="BW207" s="66"/>
      <c r="BX207" s="431"/>
      <c r="BY207" s="68"/>
      <c r="BZ207" s="69">
        <f>M207+BM207+BQ207+BU207</f>
        <v>0</v>
      </c>
      <c r="CA207" s="70"/>
      <c r="CB207" s="71"/>
      <c r="CC207" s="72">
        <f>BZ207-E207</f>
        <v>-25</v>
      </c>
      <c r="CD207" s="562">
        <v>8.6</v>
      </c>
      <c r="CE207" s="561"/>
      <c r="CF207" s="73"/>
      <c r="CG207" s="74"/>
      <c r="CH207" s="74"/>
      <c r="CI207" s="74"/>
      <c r="CJ207" s="74"/>
      <c r="CK207" s="74"/>
      <c r="CL207" s="74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31">
        <v>25</v>
      </c>
      <c r="DB207" s="31">
        <v>25</v>
      </c>
      <c r="DC207" s="31">
        <v>25</v>
      </c>
      <c r="DD207" s="31">
        <v>44.58</v>
      </c>
      <c r="DE207" s="31">
        <v>25</v>
      </c>
      <c r="DF207" s="108">
        <f t="shared" si="121"/>
        <v>12.5</v>
      </c>
      <c r="DG207" s="134">
        <f t="shared" si="122"/>
        <v>12.5</v>
      </c>
      <c r="DI207" s="826"/>
      <c r="DJ207" s="788"/>
    </row>
    <row r="208" spans="1:114" s="783" customFormat="1" ht="24" hidden="1">
      <c r="A208" s="177"/>
      <c r="B208" s="187" t="s">
        <v>97</v>
      </c>
      <c r="C208" s="837" t="s">
        <v>54</v>
      </c>
      <c r="D208" s="31"/>
      <c r="E208" s="31"/>
      <c r="F208" s="31"/>
      <c r="G208" s="31"/>
      <c r="H208" s="134"/>
      <c r="I208" s="134"/>
      <c r="J208" s="134"/>
      <c r="K208" s="134"/>
      <c r="L208" s="242"/>
      <c r="M208" s="245">
        <v>25</v>
      </c>
      <c r="N208" s="245"/>
      <c r="O208" s="245"/>
      <c r="P208" s="245"/>
      <c r="Q208" s="245"/>
      <c r="R208" s="245"/>
      <c r="S208" s="245"/>
      <c r="T208" s="245"/>
      <c r="U208" s="245">
        <v>25</v>
      </c>
      <c r="V208" s="245"/>
      <c r="W208" s="245"/>
      <c r="X208" s="134"/>
      <c r="Y208" s="155"/>
      <c r="Z208" s="242"/>
      <c r="AA208" s="245"/>
      <c r="AB208" s="245"/>
      <c r="AC208" s="245"/>
      <c r="AD208" s="245"/>
      <c r="AE208" s="245"/>
      <c r="AF208" s="245"/>
      <c r="AG208" s="245"/>
      <c r="AH208" s="245"/>
      <c r="AI208" s="245"/>
      <c r="AJ208" s="134"/>
      <c r="AK208" s="156"/>
      <c r="AL208" s="242"/>
      <c r="AM208" s="245"/>
      <c r="AN208" s="245"/>
      <c r="AO208" s="245"/>
      <c r="AP208" s="245"/>
      <c r="AQ208" s="245"/>
      <c r="AR208" s="245"/>
      <c r="AS208" s="245"/>
      <c r="AT208" s="245"/>
      <c r="AU208" s="245"/>
      <c r="AV208" s="134"/>
      <c r="AW208" s="156"/>
      <c r="AX208" s="31"/>
      <c r="AY208" s="31"/>
      <c r="AZ208" s="109"/>
      <c r="BA208" s="62"/>
      <c r="BB208" s="7"/>
      <c r="BC208" s="62"/>
      <c r="BD208" s="62"/>
      <c r="BE208" s="110"/>
      <c r="BF208" s="109"/>
      <c r="BG208" s="62">
        <v>25</v>
      </c>
      <c r="BH208" s="7"/>
      <c r="BI208" s="8"/>
      <c r="BJ208" s="426">
        <f>BA208-AZ208</f>
        <v>0</v>
      </c>
      <c r="BK208" s="427"/>
      <c r="BL208" s="560"/>
      <c r="BM208" s="109"/>
      <c r="BN208" s="62"/>
      <c r="BO208" s="470"/>
      <c r="BP208" s="64"/>
      <c r="BQ208" s="61"/>
      <c r="BR208" s="65"/>
      <c r="BS208" s="66"/>
      <c r="BT208" s="64"/>
      <c r="BU208" s="61"/>
      <c r="BV208" s="65"/>
      <c r="BW208" s="66"/>
      <c r="BX208" s="431"/>
      <c r="BY208" s="68"/>
      <c r="BZ208" s="69"/>
      <c r="CA208" s="70"/>
      <c r="CB208" s="71"/>
      <c r="CC208" s="72"/>
      <c r="CD208" s="562"/>
      <c r="CE208" s="561"/>
      <c r="CF208" s="73"/>
      <c r="CG208" s="74"/>
      <c r="CH208" s="74"/>
      <c r="CI208" s="74"/>
      <c r="CJ208" s="74"/>
      <c r="CK208" s="74"/>
      <c r="CL208" s="74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31"/>
      <c r="DB208" s="31"/>
      <c r="DC208" s="31"/>
      <c r="DD208" s="31"/>
      <c r="DE208" s="31"/>
      <c r="DF208" s="108">
        <f t="shared" si="121"/>
        <v>0</v>
      </c>
      <c r="DG208" s="134">
        <f t="shared" si="122"/>
        <v>0</v>
      </c>
      <c r="DI208" s="826"/>
      <c r="DJ208" s="788"/>
    </row>
    <row r="209" spans="1:114" s="783" customFormat="1" hidden="1">
      <c r="A209" s="177"/>
      <c r="B209" s="187" t="s">
        <v>104</v>
      </c>
      <c r="C209" s="837" t="s">
        <v>54</v>
      </c>
      <c r="D209" s="31">
        <v>79.760000000000005</v>
      </c>
      <c r="E209" s="31"/>
      <c r="F209" s="31"/>
      <c r="G209" s="31"/>
      <c r="H209" s="134">
        <v>36.15</v>
      </c>
      <c r="I209" s="134"/>
      <c r="J209" s="134"/>
      <c r="K209" s="134"/>
      <c r="L209" s="134">
        <f>G209/12</f>
        <v>0</v>
      </c>
      <c r="M209" s="245"/>
      <c r="N209" s="134">
        <f>H209/12</f>
        <v>3.0124999999999997</v>
      </c>
      <c r="O209" s="245"/>
      <c r="P209" s="245"/>
      <c r="Q209" s="245"/>
      <c r="R209" s="245"/>
      <c r="S209" s="245"/>
      <c r="T209" s="245"/>
      <c r="U209" s="245"/>
      <c r="V209" s="245"/>
      <c r="W209" s="245"/>
      <c r="X209" s="134">
        <f>O209-N209</f>
        <v>-3.0124999999999997</v>
      </c>
      <c r="Y209" s="155">
        <f>O209/N209</f>
        <v>0</v>
      </c>
      <c r="Z209" s="134">
        <v>3.01</v>
      </c>
      <c r="AA209" s="245"/>
      <c r="AB209" s="134">
        <v>3.01</v>
      </c>
      <c r="AC209" s="245"/>
      <c r="AD209" s="245"/>
      <c r="AE209" s="245"/>
      <c r="AF209" s="245"/>
      <c r="AG209" s="245"/>
      <c r="AH209" s="245"/>
      <c r="AI209" s="245"/>
      <c r="AJ209" s="134">
        <f>AC209-AB209</f>
        <v>-3.01</v>
      </c>
      <c r="AK209" s="156">
        <f>AC209/AB209</f>
        <v>0</v>
      </c>
      <c r="AL209" s="134">
        <v>3.01</v>
      </c>
      <c r="AM209" s="245"/>
      <c r="AN209" s="134">
        <v>3.01</v>
      </c>
      <c r="AO209" s="245"/>
      <c r="AP209" s="245"/>
      <c r="AQ209" s="245"/>
      <c r="AR209" s="245"/>
      <c r="AS209" s="245"/>
      <c r="AT209" s="245"/>
      <c r="AU209" s="245"/>
      <c r="AV209" s="134">
        <f>AO209-AN209</f>
        <v>-3.01</v>
      </c>
      <c r="AW209" s="156">
        <f>AO209/AN209</f>
        <v>0</v>
      </c>
      <c r="AX209" s="31">
        <f>G209/2</f>
        <v>0</v>
      </c>
      <c r="AY209" s="31"/>
      <c r="AZ209" s="109"/>
      <c r="BA209" s="62"/>
      <c r="BB209" s="7"/>
      <c r="BC209" s="62"/>
      <c r="BD209" s="62"/>
      <c r="BE209" s="110"/>
      <c r="BF209" s="109"/>
      <c r="BG209" s="62"/>
      <c r="BH209" s="7"/>
      <c r="BI209" s="8"/>
      <c r="BJ209" s="426">
        <f>BA209-AZ209</f>
        <v>0</v>
      </c>
      <c r="BK209" s="427" t="e">
        <f>BA209/AZ209</f>
        <v>#DIV/0!</v>
      </c>
      <c r="BL209" s="560"/>
      <c r="BM209" s="109"/>
      <c r="BN209" s="62"/>
      <c r="BO209" s="470"/>
      <c r="BP209" s="64"/>
      <c r="BQ209" s="61"/>
      <c r="BR209" s="65"/>
      <c r="BS209" s="66"/>
      <c r="BT209" s="64"/>
      <c r="BU209" s="61"/>
      <c r="BV209" s="65"/>
      <c r="BW209" s="66"/>
      <c r="BX209" s="431"/>
      <c r="BY209" s="68"/>
      <c r="BZ209" s="69"/>
      <c r="CA209" s="70"/>
      <c r="CB209" s="71"/>
      <c r="CC209" s="72"/>
      <c r="CD209" s="562"/>
      <c r="CE209" s="561"/>
      <c r="CF209" s="73"/>
      <c r="CG209" s="74"/>
      <c r="CH209" s="74"/>
      <c r="CI209" s="74"/>
      <c r="CJ209" s="74"/>
      <c r="CK209" s="74"/>
      <c r="CL209" s="74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31"/>
      <c r="DB209" s="31"/>
      <c r="DC209" s="31"/>
      <c r="DD209" s="31"/>
      <c r="DE209" s="31"/>
      <c r="DF209" s="108">
        <f t="shared" si="121"/>
        <v>0</v>
      </c>
      <c r="DG209" s="134">
        <f t="shared" si="122"/>
        <v>0</v>
      </c>
      <c r="DI209" s="826"/>
      <c r="DJ209" s="788"/>
    </row>
    <row r="210" spans="1:114" s="783" customFormat="1" hidden="1">
      <c r="A210" s="177"/>
      <c r="B210" s="187" t="s">
        <v>183</v>
      </c>
      <c r="C210" s="837" t="s">
        <v>54</v>
      </c>
      <c r="D210" s="31">
        <v>192</v>
      </c>
      <c r="E210" s="31">
        <v>204</v>
      </c>
      <c r="F210" s="31"/>
      <c r="G210" s="31"/>
      <c r="H210" s="134"/>
      <c r="I210" s="134"/>
      <c r="J210" s="134"/>
      <c r="K210" s="134"/>
      <c r="L210" s="134"/>
      <c r="M210" s="245"/>
      <c r="N210" s="134"/>
      <c r="O210" s="245"/>
      <c r="P210" s="245"/>
      <c r="Q210" s="245"/>
      <c r="R210" s="245"/>
      <c r="S210" s="245"/>
      <c r="T210" s="245"/>
      <c r="U210" s="245"/>
      <c r="V210" s="245"/>
      <c r="W210" s="245"/>
      <c r="X210" s="134"/>
      <c r="Y210" s="155"/>
      <c r="Z210" s="134"/>
      <c r="AA210" s="245"/>
      <c r="AB210" s="134"/>
      <c r="AC210" s="245"/>
      <c r="AD210" s="245"/>
      <c r="AE210" s="245"/>
      <c r="AF210" s="245"/>
      <c r="AG210" s="245"/>
      <c r="AH210" s="245"/>
      <c r="AI210" s="245"/>
      <c r="AJ210" s="134"/>
      <c r="AK210" s="156"/>
      <c r="AL210" s="134"/>
      <c r="AM210" s="245"/>
      <c r="AN210" s="134"/>
      <c r="AO210" s="245"/>
      <c r="AP210" s="245"/>
      <c r="AQ210" s="245"/>
      <c r="AR210" s="245"/>
      <c r="AS210" s="245"/>
      <c r="AT210" s="245"/>
      <c r="AU210" s="245"/>
      <c r="AV210" s="134"/>
      <c r="AW210" s="156"/>
      <c r="AX210" s="31"/>
      <c r="AY210" s="31"/>
      <c r="AZ210" s="109"/>
      <c r="BA210" s="62">
        <v>31.11</v>
      </c>
      <c r="BB210" s="7"/>
      <c r="BC210" s="62">
        <v>13.13</v>
      </c>
      <c r="BD210" s="62"/>
      <c r="BE210" s="110">
        <v>2.86</v>
      </c>
      <c r="BF210" s="109"/>
      <c r="BG210" s="62"/>
      <c r="BH210" s="7"/>
      <c r="BI210" s="8"/>
      <c r="BJ210" s="426"/>
      <c r="BK210" s="427"/>
      <c r="BL210" s="560"/>
      <c r="BM210" s="109"/>
      <c r="BN210" s="62"/>
      <c r="BO210" s="470"/>
      <c r="BP210" s="64"/>
      <c r="BQ210" s="61"/>
      <c r="BR210" s="65"/>
      <c r="BS210" s="66"/>
      <c r="BT210" s="64"/>
      <c r="BU210" s="61"/>
      <c r="BV210" s="65"/>
      <c r="BW210" s="66"/>
      <c r="BX210" s="431"/>
      <c r="BY210" s="68"/>
      <c r="BZ210" s="69"/>
      <c r="CA210" s="70"/>
      <c r="CB210" s="71"/>
      <c r="CC210" s="72"/>
      <c r="CD210" s="562"/>
      <c r="CE210" s="561"/>
      <c r="CF210" s="73"/>
      <c r="CG210" s="74"/>
      <c r="CH210" s="74"/>
      <c r="CI210" s="74"/>
      <c r="CJ210" s="74"/>
      <c r="CK210" s="74"/>
      <c r="CL210" s="74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31">
        <v>204</v>
      </c>
      <c r="DB210" s="31"/>
      <c r="DC210" s="31"/>
      <c r="DD210" s="31"/>
      <c r="DE210" s="31"/>
      <c r="DF210" s="108">
        <f t="shared" si="121"/>
        <v>0</v>
      </c>
      <c r="DG210" s="134">
        <f t="shared" si="122"/>
        <v>0</v>
      </c>
      <c r="DI210" s="826"/>
      <c r="DJ210" s="788"/>
    </row>
    <row r="211" spans="1:114" s="783" customFormat="1" hidden="1">
      <c r="A211" s="177"/>
      <c r="B211" s="187" t="s">
        <v>66</v>
      </c>
      <c r="C211" s="837" t="s">
        <v>54</v>
      </c>
      <c r="D211" s="31"/>
      <c r="E211" s="31"/>
      <c r="F211" s="31"/>
      <c r="G211" s="31"/>
      <c r="H211" s="134"/>
      <c r="I211" s="134"/>
      <c r="J211" s="134"/>
      <c r="K211" s="134"/>
      <c r="L211" s="242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134"/>
      <c r="Y211" s="155"/>
      <c r="Z211" s="242"/>
      <c r="AA211" s="245"/>
      <c r="AB211" s="245"/>
      <c r="AC211" s="245"/>
      <c r="AD211" s="245"/>
      <c r="AE211" s="245"/>
      <c r="AF211" s="245"/>
      <c r="AG211" s="245"/>
      <c r="AH211" s="245"/>
      <c r="AI211" s="245"/>
      <c r="AJ211" s="134"/>
      <c r="AK211" s="156"/>
      <c r="AL211" s="242"/>
      <c r="AM211" s="245"/>
      <c r="AN211" s="245"/>
      <c r="AO211" s="245"/>
      <c r="AP211" s="245"/>
      <c r="AQ211" s="245"/>
      <c r="AR211" s="245"/>
      <c r="AS211" s="245"/>
      <c r="AT211" s="245"/>
      <c r="AU211" s="245"/>
      <c r="AV211" s="134"/>
      <c r="AW211" s="156"/>
      <c r="AX211" s="31"/>
      <c r="AY211" s="31"/>
      <c r="AZ211" s="109"/>
      <c r="BA211" s="62"/>
      <c r="BB211" s="7"/>
      <c r="BC211" s="62"/>
      <c r="BD211" s="62"/>
      <c r="BE211" s="110"/>
      <c r="BF211" s="109"/>
      <c r="BG211" s="62"/>
      <c r="BH211" s="7"/>
      <c r="BI211" s="8"/>
      <c r="BJ211" s="426"/>
      <c r="BK211" s="427"/>
      <c r="BL211" s="560"/>
      <c r="BM211" s="109"/>
      <c r="BN211" s="62"/>
      <c r="BO211" s="470"/>
      <c r="BP211" s="64"/>
      <c r="BQ211" s="61"/>
      <c r="BR211" s="65"/>
      <c r="BS211" s="66"/>
      <c r="BT211" s="64"/>
      <c r="BU211" s="61"/>
      <c r="BV211" s="65"/>
      <c r="BW211" s="66"/>
      <c r="BX211" s="431"/>
      <c r="BY211" s="68"/>
      <c r="BZ211" s="69"/>
      <c r="CA211" s="70"/>
      <c r="CB211" s="71"/>
      <c r="CC211" s="72"/>
      <c r="CD211" s="562"/>
      <c r="CE211" s="561"/>
      <c r="CF211" s="73"/>
      <c r="CG211" s="74"/>
      <c r="CH211" s="74"/>
      <c r="CI211" s="74"/>
      <c r="CJ211" s="74"/>
      <c r="CK211" s="74"/>
      <c r="CL211" s="74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31"/>
      <c r="DB211" s="31"/>
      <c r="DC211" s="31"/>
      <c r="DD211" s="31"/>
      <c r="DE211" s="31"/>
      <c r="DF211" s="108">
        <f t="shared" si="121"/>
        <v>0</v>
      </c>
      <c r="DG211" s="134">
        <f t="shared" si="122"/>
        <v>0</v>
      </c>
      <c r="DI211" s="826"/>
      <c r="DJ211" s="788"/>
    </row>
    <row r="212" spans="1:114" s="783" customFormat="1" hidden="1">
      <c r="A212" s="177"/>
      <c r="B212" s="187" t="s">
        <v>40</v>
      </c>
      <c r="C212" s="837" t="s">
        <v>54</v>
      </c>
      <c r="D212" s="31"/>
      <c r="E212" s="31"/>
      <c r="F212" s="31"/>
      <c r="G212" s="31"/>
      <c r="H212" s="134"/>
      <c r="I212" s="134"/>
      <c r="J212" s="134"/>
      <c r="K212" s="134"/>
      <c r="L212" s="242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55"/>
      <c r="Z212" s="242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56"/>
      <c r="AL212" s="242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56"/>
      <c r="AX212" s="31"/>
      <c r="AY212" s="31"/>
      <c r="AZ212" s="109"/>
      <c r="BA212" s="62"/>
      <c r="BB212" s="62"/>
      <c r="BC212" s="62"/>
      <c r="BD212" s="62"/>
      <c r="BE212" s="110"/>
      <c r="BF212" s="109"/>
      <c r="BG212" s="62"/>
      <c r="BH212" s="62"/>
      <c r="BI212" s="110"/>
      <c r="BJ212" s="426">
        <f>BA212-AZ212</f>
        <v>0</v>
      </c>
      <c r="BK212" s="427"/>
      <c r="BL212" s="560"/>
      <c r="BM212" s="109"/>
      <c r="BN212" s="62"/>
      <c r="BO212" s="470"/>
      <c r="BP212" s="64"/>
      <c r="BQ212" s="61"/>
      <c r="BR212" s="65"/>
      <c r="BS212" s="66"/>
      <c r="BT212" s="64"/>
      <c r="BU212" s="61"/>
      <c r="BV212" s="65"/>
      <c r="BW212" s="66"/>
      <c r="BX212" s="431"/>
      <c r="BY212" s="68"/>
      <c r="BZ212" s="69">
        <f>M212+BM212+BQ212+BU212</f>
        <v>0</v>
      </c>
      <c r="CA212" s="70"/>
      <c r="CB212" s="71"/>
      <c r="CC212" s="72">
        <f>BZ212-E212</f>
        <v>0</v>
      </c>
      <c r="CD212" s="562">
        <v>20.83</v>
      </c>
      <c r="CE212" s="561"/>
      <c r="CF212" s="73"/>
      <c r="CG212" s="74"/>
      <c r="CH212" s="74"/>
      <c r="CI212" s="74"/>
      <c r="CJ212" s="74"/>
      <c r="CK212" s="74"/>
      <c r="CL212" s="74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31"/>
      <c r="DB212" s="31"/>
      <c r="DC212" s="31"/>
      <c r="DD212" s="31"/>
      <c r="DE212" s="31"/>
      <c r="DF212" s="108">
        <f t="shared" si="121"/>
        <v>0</v>
      </c>
      <c r="DG212" s="134">
        <f t="shared" si="122"/>
        <v>0</v>
      </c>
      <c r="DI212" s="826"/>
      <c r="DJ212" s="788"/>
    </row>
    <row r="213" spans="1:114" s="783" customFormat="1" hidden="1">
      <c r="A213" s="177"/>
      <c r="B213" s="187" t="s">
        <v>41</v>
      </c>
      <c r="C213" s="837" t="s">
        <v>54</v>
      </c>
      <c r="D213" s="31"/>
      <c r="E213" s="31"/>
      <c r="F213" s="31"/>
      <c r="G213" s="31"/>
      <c r="H213" s="134">
        <v>123.16</v>
      </c>
      <c r="I213" s="134"/>
      <c r="J213" s="134"/>
      <c r="K213" s="134"/>
      <c r="L213" s="134">
        <f>G213/12</f>
        <v>0</v>
      </c>
      <c r="M213" s="134"/>
      <c r="N213" s="134">
        <f>H213/12</f>
        <v>10.263333333333334</v>
      </c>
      <c r="O213" s="134"/>
      <c r="P213" s="134"/>
      <c r="Q213" s="134"/>
      <c r="R213" s="134"/>
      <c r="S213" s="134"/>
      <c r="T213" s="134"/>
      <c r="U213" s="134"/>
      <c r="V213" s="134"/>
      <c r="W213" s="134"/>
      <c r="X213" s="134">
        <f>O213-N213</f>
        <v>-10.263333333333334</v>
      </c>
      <c r="Y213" s="155">
        <f>O213/N213</f>
        <v>0</v>
      </c>
      <c r="Z213" s="134">
        <v>10.26</v>
      </c>
      <c r="AA213" s="134">
        <v>17.5</v>
      </c>
      <c r="AB213" s="134">
        <v>10.26</v>
      </c>
      <c r="AC213" s="134"/>
      <c r="AD213" s="134"/>
      <c r="AE213" s="134"/>
      <c r="AF213" s="134"/>
      <c r="AG213" s="134"/>
      <c r="AH213" s="134"/>
      <c r="AI213" s="134"/>
      <c r="AJ213" s="134">
        <f>AC213-AB213</f>
        <v>-10.26</v>
      </c>
      <c r="AK213" s="156">
        <f>AC213/AB213</f>
        <v>0</v>
      </c>
      <c r="AL213" s="134">
        <v>10.26</v>
      </c>
      <c r="AM213" s="134">
        <v>17.5</v>
      </c>
      <c r="AN213" s="134">
        <v>10.26</v>
      </c>
      <c r="AO213" s="134"/>
      <c r="AP213" s="134"/>
      <c r="AQ213" s="134"/>
      <c r="AR213" s="134"/>
      <c r="AS213" s="134"/>
      <c r="AT213" s="134"/>
      <c r="AU213" s="134"/>
      <c r="AV213" s="134">
        <f>AO213-AN213</f>
        <v>-10.26</v>
      </c>
      <c r="AW213" s="156">
        <f>AO213/AN213</f>
        <v>0</v>
      </c>
      <c r="AX213" s="31">
        <f>G213/2</f>
        <v>0</v>
      </c>
      <c r="AY213" s="31"/>
      <c r="AZ213" s="109"/>
      <c r="BA213" s="62"/>
      <c r="BB213" s="62"/>
      <c r="BC213" s="62"/>
      <c r="BD213" s="62"/>
      <c r="BE213" s="110"/>
      <c r="BF213" s="109"/>
      <c r="BG213" s="62"/>
      <c r="BH213" s="62"/>
      <c r="BI213" s="110"/>
      <c r="BJ213" s="426">
        <f>BA213-AZ213</f>
        <v>0</v>
      </c>
      <c r="BK213" s="427" t="e">
        <f>BA213/AZ213</f>
        <v>#DIV/0!</v>
      </c>
      <c r="BL213" s="560"/>
      <c r="BM213" s="109">
        <v>17.50074</v>
      </c>
      <c r="BN213" s="62"/>
      <c r="BO213" s="470"/>
      <c r="BP213" s="64"/>
      <c r="BQ213" s="61"/>
      <c r="BR213" s="65"/>
      <c r="BS213" s="66"/>
      <c r="BT213" s="64"/>
      <c r="BU213" s="61"/>
      <c r="BV213" s="65"/>
      <c r="BW213" s="66"/>
      <c r="BX213" s="431"/>
      <c r="BY213" s="68"/>
      <c r="BZ213" s="69">
        <f>M213+BM213+BQ213+BU213</f>
        <v>17.50074</v>
      </c>
      <c r="CA213" s="70"/>
      <c r="CB213" s="71"/>
      <c r="CC213" s="72">
        <f>BZ213-E213</f>
        <v>17.50074</v>
      </c>
      <c r="CD213" s="562">
        <v>116.22</v>
      </c>
      <c r="CE213" s="561"/>
      <c r="CF213" s="73"/>
      <c r="CG213" s="74"/>
      <c r="CH213" s="74"/>
      <c r="CI213" s="74"/>
      <c r="CJ213" s="74"/>
      <c r="CK213" s="74"/>
      <c r="CL213" s="74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31"/>
      <c r="DB213" s="31"/>
      <c r="DC213" s="31"/>
      <c r="DD213" s="31"/>
      <c r="DE213" s="31"/>
      <c r="DF213" s="108">
        <f t="shared" si="121"/>
        <v>0</v>
      </c>
      <c r="DG213" s="134">
        <f t="shared" si="122"/>
        <v>0</v>
      </c>
      <c r="DI213" s="826"/>
      <c r="DJ213" s="788"/>
    </row>
    <row r="214" spans="1:114" s="783" customFormat="1" hidden="1">
      <c r="A214" s="177"/>
      <c r="B214" s="187" t="s">
        <v>99</v>
      </c>
      <c r="C214" s="837" t="s">
        <v>54</v>
      </c>
      <c r="D214" s="31">
        <v>28.8</v>
      </c>
      <c r="E214" s="31">
        <v>28.8</v>
      </c>
      <c r="F214" s="31">
        <v>28.8</v>
      </c>
      <c r="G214" s="31">
        <v>28.8</v>
      </c>
      <c r="H214" s="134">
        <v>11.2</v>
      </c>
      <c r="I214" s="134"/>
      <c r="J214" s="134"/>
      <c r="K214" s="134"/>
      <c r="L214" s="134">
        <f>G214/12</f>
        <v>2.4</v>
      </c>
      <c r="M214" s="134"/>
      <c r="N214" s="134">
        <f>H214/12</f>
        <v>0.93333333333333324</v>
      </c>
      <c r="O214" s="134"/>
      <c r="P214" s="134"/>
      <c r="Q214" s="134"/>
      <c r="R214" s="134"/>
      <c r="S214" s="134"/>
      <c r="T214" s="134"/>
      <c r="U214" s="134"/>
      <c r="V214" s="134"/>
      <c r="W214" s="134"/>
      <c r="X214" s="134">
        <f>O214-N214</f>
        <v>-0.93333333333333324</v>
      </c>
      <c r="Y214" s="155">
        <f>O214/N214</f>
        <v>0</v>
      </c>
      <c r="Z214" s="134">
        <v>0.93</v>
      </c>
      <c r="AA214" s="134">
        <v>5.45</v>
      </c>
      <c r="AB214" s="134">
        <v>0.93</v>
      </c>
      <c r="AC214" s="134"/>
      <c r="AD214" s="134"/>
      <c r="AE214" s="134"/>
      <c r="AF214" s="134"/>
      <c r="AG214" s="134"/>
      <c r="AH214" s="134"/>
      <c r="AI214" s="134"/>
      <c r="AJ214" s="134">
        <f>AC214-AB214</f>
        <v>-0.93</v>
      </c>
      <c r="AK214" s="156">
        <f>AC214/AB214</f>
        <v>0</v>
      </c>
      <c r="AL214" s="134">
        <v>0.93</v>
      </c>
      <c r="AM214" s="134">
        <v>5.45</v>
      </c>
      <c r="AN214" s="134">
        <v>0.93</v>
      </c>
      <c r="AO214" s="134"/>
      <c r="AP214" s="134"/>
      <c r="AQ214" s="134"/>
      <c r="AR214" s="134"/>
      <c r="AS214" s="134"/>
      <c r="AT214" s="134"/>
      <c r="AU214" s="134"/>
      <c r="AV214" s="134">
        <f>AO214-AN214</f>
        <v>-0.93</v>
      </c>
      <c r="AW214" s="156">
        <f>AO214/AN214</f>
        <v>0</v>
      </c>
      <c r="AX214" s="31">
        <f>G214/2</f>
        <v>14.4</v>
      </c>
      <c r="AY214" s="31">
        <v>28.85</v>
      </c>
      <c r="AZ214" s="109"/>
      <c r="BA214" s="62">
        <v>16.73</v>
      </c>
      <c r="BB214" s="62"/>
      <c r="BC214" s="62">
        <v>9.5299999999999994</v>
      </c>
      <c r="BD214" s="62"/>
      <c r="BE214" s="110">
        <v>1.73</v>
      </c>
      <c r="BF214" s="109">
        <v>0.81</v>
      </c>
      <c r="BG214" s="62"/>
      <c r="BH214" s="62"/>
      <c r="BI214" s="110"/>
      <c r="BJ214" s="426">
        <f>BA214-AZ214</f>
        <v>16.73</v>
      </c>
      <c r="BK214" s="427" t="e">
        <f>BA214/AZ214</f>
        <v>#DIV/0!</v>
      </c>
      <c r="BL214" s="560"/>
      <c r="BM214" s="109">
        <v>5.4539999999999997</v>
      </c>
      <c r="BN214" s="62"/>
      <c r="BO214" s="470"/>
      <c r="BP214" s="64"/>
      <c r="BQ214" s="61"/>
      <c r="BR214" s="65"/>
      <c r="BS214" s="66"/>
      <c r="BT214" s="64"/>
      <c r="BU214" s="61"/>
      <c r="BV214" s="65"/>
      <c r="BW214" s="66"/>
      <c r="BX214" s="431"/>
      <c r="BY214" s="68"/>
      <c r="BZ214" s="69"/>
      <c r="CA214" s="70"/>
      <c r="CB214" s="71"/>
      <c r="CC214" s="72"/>
      <c r="CD214" s="562"/>
      <c r="CE214" s="561"/>
      <c r="CF214" s="73"/>
      <c r="CG214" s="74"/>
      <c r="CH214" s="74"/>
      <c r="CI214" s="74"/>
      <c r="CJ214" s="74"/>
      <c r="CK214" s="74"/>
      <c r="CL214" s="74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31">
        <v>28.8</v>
      </c>
      <c r="DB214" s="31">
        <v>28.8</v>
      </c>
      <c r="DC214" s="31">
        <v>28.8</v>
      </c>
      <c r="DD214" s="31">
        <v>29.66</v>
      </c>
      <c r="DE214" s="31">
        <v>28.8</v>
      </c>
      <c r="DF214" s="108">
        <f t="shared" si="121"/>
        <v>14.4</v>
      </c>
      <c r="DG214" s="134">
        <f t="shared" si="122"/>
        <v>14.4</v>
      </c>
      <c r="DI214" s="826"/>
      <c r="DJ214" s="788"/>
    </row>
    <row r="215" spans="1:114" s="783" customFormat="1" hidden="1">
      <c r="A215" s="177"/>
      <c r="B215" s="187" t="s">
        <v>21</v>
      </c>
      <c r="C215" s="837" t="s">
        <v>54</v>
      </c>
      <c r="D215" s="31"/>
      <c r="E215" s="31">
        <v>10.199999999999999</v>
      </c>
      <c r="F215" s="31">
        <v>10.199999999999999</v>
      </c>
      <c r="G215" s="31">
        <v>10.199999999999999</v>
      </c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55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56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56"/>
      <c r="AX215" s="31"/>
      <c r="AY215" s="31">
        <v>9.68</v>
      </c>
      <c r="AZ215" s="109"/>
      <c r="BA215" s="62">
        <v>10.19</v>
      </c>
      <c r="BB215" s="62"/>
      <c r="BC215" s="62"/>
      <c r="BD215" s="62"/>
      <c r="BE215" s="110"/>
      <c r="BF215" s="109"/>
      <c r="BG215" s="62"/>
      <c r="BH215" s="62"/>
      <c r="BI215" s="110"/>
      <c r="BJ215" s="426"/>
      <c r="BK215" s="427"/>
      <c r="BL215" s="560"/>
      <c r="BM215" s="109"/>
      <c r="BN215" s="62"/>
      <c r="BO215" s="470"/>
      <c r="BP215" s="64"/>
      <c r="BQ215" s="61"/>
      <c r="BR215" s="65"/>
      <c r="BS215" s="66"/>
      <c r="BT215" s="64"/>
      <c r="BU215" s="61"/>
      <c r="BV215" s="65"/>
      <c r="BW215" s="66"/>
      <c r="BX215" s="431"/>
      <c r="BY215" s="68"/>
      <c r="BZ215" s="69"/>
      <c r="CA215" s="70"/>
      <c r="CB215" s="71"/>
      <c r="CC215" s="72"/>
      <c r="CD215" s="562"/>
      <c r="CE215" s="561"/>
      <c r="CF215" s="73"/>
      <c r="CG215" s="74"/>
      <c r="CH215" s="74"/>
      <c r="CI215" s="74"/>
      <c r="CJ215" s="74"/>
      <c r="CK215" s="74"/>
      <c r="CL215" s="74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31">
        <v>10.199999999999999</v>
      </c>
      <c r="DB215" s="31">
        <v>10.199999999999999</v>
      </c>
      <c r="DC215" s="31">
        <v>4.59</v>
      </c>
      <c r="DD215" s="31">
        <v>13.15</v>
      </c>
      <c r="DE215" s="31">
        <v>4.59</v>
      </c>
      <c r="DF215" s="108">
        <f t="shared" si="121"/>
        <v>2.2949999999999999</v>
      </c>
      <c r="DG215" s="134">
        <f t="shared" si="122"/>
        <v>2.2949999999999999</v>
      </c>
      <c r="DH215" s="835"/>
      <c r="DI215" s="826"/>
      <c r="DJ215" s="788"/>
    </row>
    <row r="216" spans="1:114" s="783" customFormat="1" hidden="1">
      <c r="A216" s="177"/>
      <c r="B216" s="187" t="s">
        <v>213</v>
      </c>
      <c r="C216" s="837" t="s">
        <v>54</v>
      </c>
      <c r="D216" s="31"/>
      <c r="E216" s="31"/>
      <c r="F216" s="31"/>
      <c r="G216" s="31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55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56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56"/>
      <c r="AX216" s="31"/>
      <c r="AY216" s="31"/>
      <c r="AZ216" s="109"/>
      <c r="BA216" s="62"/>
      <c r="BB216" s="62"/>
      <c r="BC216" s="62"/>
      <c r="BD216" s="62"/>
      <c r="BE216" s="110"/>
      <c r="BF216" s="109"/>
      <c r="BG216" s="62">
        <f>AY216</f>
        <v>0</v>
      </c>
      <c r="BH216" s="62"/>
      <c r="BI216" s="110"/>
      <c r="BJ216" s="426"/>
      <c r="BK216" s="427"/>
      <c r="BL216" s="560"/>
      <c r="BM216" s="109"/>
      <c r="BN216" s="62"/>
      <c r="BO216" s="470"/>
      <c r="BP216" s="64"/>
      <c r="BQ216" s="61"/>
      <c r="BR216" s="65"/>
      <c r="BS216" s="66"/>
      <c r="BT216" s="64"/>
      <c r="BU216" s="61"/>
      <c r="BV216" s="65"/>
      <c r="BW216" s="66"/>
      <c r="BX216" s="431"/>
      <c r="BY216" s="68"/>
      <c r="BZ216" s="69"/>
      <c r="CA216" s="70"/>
      <c r="CB216" s="71"/>
      <c r="CC216" s="72"/>
      <c r="CD216" s="562"/>
      <c r="CE216" s="561"/>
      <c r="CF216" s="73"/>
      <c r="CG216" s="74"/>
      <c r="CH216" s="74"/>
      <c r="CI216" s="74"/>
      <c r="CJ216" s="74"/>
      <c r="CK216" s="74"/>
      <c r="CL216" s="74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31"/>
      <c r="DB216" s="31"/>
      <c r="DC216" s="31"/>
      <c r="DD216" s="31"/>
      <c r="DE216" s="31"/>
      <c r="DF216" s="108">
        <f t="shared" si="121"/>
        <v>0</v>
      </c>
      <c r="DG216" s="134">
        <f t="shared" si="122"/>
        <v>0</v>
      </c>
      <c r="DI216" s="826"/>
      <c r="DJ216" s="788"/>
    </row>
    <row r="217" spans="1:114" s="783" customFormat="1" hidden="1">
      <c r="A217" s="177"/>
      <c r="B217" s="187" t="s">
        <v>309</v>
      </c>
      <c r="C217" s="837" t="s">
        <v>54</v>
      </c>
      <c r="D217" s="31"/>
      <c r="E217" s="31"/>
      <c r="F217" s="31">
        <v>6</v>
      </c>
      <c r="G217" s="31">
        <v>6</v>
      </c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55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56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56"/>
      <c r="AX217" s="31"/>
      <c r="AY217" s="31">
        <v>0.65</v>
      </c>
      <c r="AZ217" s="109"/>
      <c r="BA217" s="62"/>
      <c r="BB217" s="62"/>
      <c r="BC217" s="62"/>
      <c r="BD217" s="62"/>
      <c r="BE217" s="110"/>
      <c r="BF217" s="109"/>
      <c r="BG217" s="62"/>
      <c r="BH217" s="62"/>
      <c r="BI217" s="110"/>
      <c r="BJ217" s="426"/>
      <c r="BK217" s="427"/>
      <c r="BL217" s="560"/>
      <c r="BM217" s="109"/>
      <c r="BN217" s="62"/>
      <c r="BO217" s="470"/>
      <c r="BP217" s="64"/>
      <c r="BQ217" s="61"/>
      <c r="BR217" s="65"/>
      <c r="BS217" s="66"/>
      <c r="BT217" s="64"/>
      <c r="BU217" s="61"/>
      <c r="BV217" s="65"/>
      <c r="BW217" s="66"/>
      <c r="BX217" s="431"/>
      <c r="BY217" s="68"/>
      <c r="BZ217" s="69"/>
      <c r="CA217" s="70"/>
      <c r="CB217" s="71"/>
      <c r="CC217" s="72"/>
      <c r="CD217" s="562"/>
      <c r="CE217" s="561"/>
      <c r="CF217" s="73"/>
      <c r="CG217" s="74"/>
      <c r="CH217" s="74"/>
      <c r="CI217" s="74"/>
      <c r="CJ217" s="74"/>
      <c r="CK217" s="74"/>
      <c r="CL217" s="74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31"/>
      <c r="DB217" s="31">
        <v>6</v>
      </c>
      <c r="DC217" s="31">
        <v>6</v>
      </c>
      <c r="DD217" s="31">
        <v>3.2</v>
      </c>
      <c r="DE217" s="31">
        <v>6</v>
      </c>
      <c r="DF217" s="108">
        <f t="shared" si="121"/>
        <v>3</v>
      </c>
      <c r="DG217" s="134">
        <f t="shared" si="122"/>
        <v>3</v>
      </c>
      <c r="DI217" s="826"/>
      <c r="DJ217" s="788"/>
    </row>
    <row r="218" spans="1:114" s="783" customFormat="1" hidden="1">
      <c r="A218" s="177"/>
      <c r="B218" s="187" t="s">
        <v>184</v>
      </c>
      <c r="C218" s="837" t="s">
        <v>54</v>
      </c>
      <c r="D218" s="31">
        <v>14.4</v>
      </c>
      <c r="E218" s="31"/>
      <c r="F218" s="31"/>
      <c r="G218" s="31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55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56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56"/>
      <c r="AX218" s="31"/>
      <c r="AY218" s="31"/>
      <c r="AZ218" s="109"/>
      <c r="BA218" s="62"/>
      <c r="BB218" s="62"/>
      <c r="BC218" s="62"/>
      <c r="BD218" s="62"/>
      <c r="BE218" s="110"/>
      <c r="BF218" s="109"/>
      <c r="BG218" s="62"/>
      <c r="BH218" s="62"/>
      <c r="BI218" s="110"/>
      <c r="BJ218" s="426"/>
      <c r="BK218" s="427"/>
      <c r="BL218" s="560"/>
      <c r="BM218" s="109"/>
      <c r="BN218" s="62"/>
      <c r="BO218" s="470"/>
      <c r="BP218" s="64"/>
      <c r="BQ218" s="61"/>
      <c r="BR218" s="65"/>
      <c r="BS218" s="66"/>
      <c r="BT218" s="64"/>
      <c r="BU218" s="61"/>
      <c r="BV218" s="65"/>
      <c r="BW218" s="66"/>
      <c r="BX218" s="431"/>
      <c r="BY218" s="68"/>
      <c r="BZ218" s="69"/>
      <c r="CA218" s="70"/>
      <c r="CB218" s="71"/>
      <c r="CC218" s="72"/>
      <c r="CD218" s="562"/>
      <c r="CE218" s="561"/>
      <c r="CF218" s="73"/>
      <c r="CG218" s="74"/>
      <c r="CH218" s="74"/>
      <c r="CI218" s="74"/>
      <c r="CJ218" s="74"/>
      <c r="CK218" s="74"/>
      <c r="CL218" s="74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31"/>
      <c r="DB218" s="31"/>
      <c r="DC218" s="31"/>
      <c r="DD218" s="31"/>
      <c r="DE218" s="31"/>
      <c r="DF218" s="108">
        <f t="shared" si="121"/>
        <v>0</v>
      </c>
      <c r="DG218" s="134">
        <f t="shared" si="122"/>
        <v>0</v>
      </c>
      <c r="DI218" s="826"/>
      <c r="DJ218" s="788"/>
    </row>
    <row r="219" spans="1:114" s="783" customFormat="1" hidden="1">
      <c r="A219" s="177"/>
      <c r="B219" s="187" t="s">
        <v>68</v>
      </c>
      <c r="C219" s="837" t="s">
        <v>54</v>
      </c>
      <c r="D219" s="31">
        <v>1.2</v>
      </c>
      <c r="E219" s="31"/>
      <c r="F219" s="31"/>
      <c r="G219" s="31"/>
      <c r="H219" s="134"/>
      <c r="I219" s="134"/>
      <c r="J219" s="134"/>
      <c r="K219" s="134"/>
      <c r="L219" s="242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55"/>
      <c r="Z219" s="242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56"/>
      <c r="AL219" s="242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56"/>
      <c r="AX219" s="31"/>
      <c r="AY219" s="31"/>
      <c r="AZ219" s="109"/>
      <c r="BA219" s="62"/>
      <c r="BB219" s="62"/>
      <c r="BC219" s="62"/>
      <c r="BD219" s="62"/>
      <c r="BE219" s="110"/>
      <c r="BF219" s="109"/>
      <c r="BG219" s="62"/>
      <c r="BH219" s="62"/>
      <c r="BI219" s="110"/>
      <c r="BJ219" s="426">
        <f>BA219-AZ219</f>
        <v>0</v>
      </c>
      <c r="BK219" s="427"/>
      <c r="BL219" s="560"/>
      <c r="BM219" s="109"/>
      <c r="BN219" s="62"/>
      <c r="BO219" s="470"/>
      <c r="BP219" s="64"/>
      <c r="BQ219" s="61"/>
      <c r="BR219" s="65"/>
      <c r="BS219" s="66"/>
      <c r="BT219" s="64"/>
      <c r="BU219" s="61"/>
      <c r="BV219" s="65"/>
      <c r="BW219" s="66"/>
      <c r="BX219" s="431"/>
      <c r="BY219" s="68"/>
      <c r="BZ219" s="69">
        <f>M219+BM219+BQ219+BU219</f>
        <v>0</v>
      </c>
      <c r="CA219" s="70"/>
      <c r="CB219" s="71"/>
      <c r="CC219" s="72">
        <f>BZ219-E219</f>
        <v>0</v>
      </c>
      <c r="CD219" s="562">
        <v>0.4</v>
      </c>
      <c r="CE219" s="561"/>
      <c r="CF219" s="73"/>
      <c r="CG219" s="74"/>
      <c r="CH219" s="74"/>
      <c r="CI219" s="74"/>
      <c r="CJ219" s="74"/>
      <c r="CK219" s="74"/>
      <c r="CL219" s="74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31"/>
      <c r="DB219" s="31"/>
      <c r="DC219" s="31"/>
      <c r="DD219" s="31"/>
      <c r="DE219" s="31"/>
      <c r="DF219" s="108">
        <f t="shared" si="121"/>
        <v>0</v>
      </c>
      <c r="DG219" s="134">
        <f t="shared" si="122"/>
        <v>0</v>
      </c>
      <c r="DI219" s="826"/>
      <c r="DJ219" s="788"/>
    </row>
    <row r="220" spans="1:114" s="783" customFormat="1" hidden="1">
      <c r="A220" s="177"/>
      <c r="B220" s="187" t="s">
        <v>62</v>
      </c>
      <c r="C220" s="837" t="s">
        <v>54</v>
      </c>
      <c r="D220" s="31">
        <v>60</v>
      </c>
      <c r="E220" s="31"/>
      <c r="F220" s="31"/>
      <c r="G220" s="31"/>
      <c r="H220" s="134"/>
      <c r="I220" s="134"/>
      <c r="J220" s="134"/>
      <c r="K220" s="134"/>
      <c r="L220" s="242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55"/>
      <c r="Z220" s="242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56"/>
      <c r="AL220" s="242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56"/>
      <c r="AX220" s="31"/>
      <c r="AY220" s="31">
        <v>11.25</v>
      </c>
      <c r="AZ220" s="109"/>
      <c r="BA220" s="62"/>
      <c r="BB220" s="62"/>
      <c r="BC220" s="62"/>
      <c r="BD220" s="62"/>
      <c r="BE220" s="110"/>
      <c r="BF220" s="109"/>
      <c r="BG220" s="62">
        <v>44.29</v>
      </c>
      <c r="BH220" s="62"/>
      <c r="BI220" s="110"/>
      <c r="BJ220" s="426">
        <f>BA220-AZ220</f>
        <v>0</v>
      </c>
      <c r="BK220" s="427"/>
      <c r="BL220" s="560"/>
      <c r="BM220" s="109"/>
      <c r="BN220" s="62"/>
      <c r="BO220" s="470"/>
      <c r="BP220" s="64"/>
      <c r="BQ220" s="61"/>
      <c r="BR220" s="65"/>
      <c r="BS220" s="66"/>
      <c r="BT220" s="64"/>
      <c r="BU220" s="61"/>
      <c r="BV220" s="65"/>
      <c r="BW220" s="66"/>
      <c r="BX220" s="431"/>
      <c r="BY220" s="68"/>
      <c r="BZ220" s="69">
        <f>M220+BM220+BQ220+BU220</f>
        <v>0</v>
      </c>
      <c r="CA220" s="70"/>
      <c r="CB220" s="71"/>
      <c r="CC220" s="72">
        <f>BZ220-E220</f>
        <v>0</v>
      </c>
      <c r="CD220" s="562">
        <v>1.85</v>
      </c>
      <c r="CE220" s="561"/>
      <c r="CF220" s="73"/>
      <c r="CG220" s="74"/>
      <c r="CH220" s="74"/>
      <c r="CI220" s="74"/>
      <c r="CJ220" s="74"/>
      <c r="CK220" s="74"/>
      <c r="CL220" s="74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31"/>
      <c r="DB220" s="31"/>
      <c r="DC220" s="31"/>
      <c r="DD220" s="31"/>
      <c r="DE220" s="31"/>
      <c r="DF220" s="108">
        <f t="shared" si="121"/>
        <v>0</v>
      </c>
      <c r="DG220" s="134">
        <f t="shared" si="122"/>
        <v>0</v>
      </c>
      <c r="DI220" s="826"/>
      <c r="DJ220" s="788"/>
    </row>
    <row r="221" spans="1:114" s="783" customFormat="1" hidden="1">
      <c r="A221" s="177"/>
      <c r="B221" s="187" t="s">
        <v>63</v>
      </c>
      <c r="C221" s="837" t="s">
        <v>54</v>
      </c>
      <c r="D221" s="31">
        <v>5.8</v>
      </c>
      <c r="E221" s="31">
        <v>7.4</v>
      </c>
      <c r="F221" s="31">
        <v>7.4</v>
      </c>
      <c r="G221" s="31">
        <v>7.4</v>
      </c>
      <c r="H221" s="134"/>
      <c r="I221" s="134"/>
      <c r="J221" s="134"/>
      <c r="K221" s="134"/>
      <c r="L221" s="242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55"/>
      <c r="Z221" s="242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56"/>
      <c r="AL221" s="242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56"/>
      <c r="AX221" s="31"/>
      <c r="AY221" s="31">
        <v>3</v>
      </c>
      <c r="AZ221" s="109"/>
      <c r="BA221" s="62">
        <v>3.37</v>
      </c>
      <c r="BB221" s="62"/>
      <c r="BC221" s="62">
        <v>2.73</v>
      </c>
      <c r="BD221" s="62"/>
      <c r="BE221" s="110">
        <v>1.3</v>
      </c>
      <c r="BF221" s="109"/>
      <c r="BG221" s="62"/>
      <c r="BH221" s="62"/>
      <c r="BI221" s="110"/>
      <c r="BJ221" s="426"/>
      <c r="BK221" s="427"/>
      <c r="BL221" s="560"/>
      <c r="BM221" s="109"/>
      <c r="BN221" s="62"/>
      <c r="BO221" s="470"/>
      <c r="BP221" s="64"/>
      <c r="BQ221" s="61"/>
      <c r="BR221" s="65"/>
      <c r="BS221" s="66"/>
      <c r="BT221" s="64"/>
      <c r="BU221" s="61"/>
      <c r="BV221" s="65"/>
      <c r="BW221" s="66"/>
      <c r="BX221" s="431"/>
      <c r="BY221" s="68"/>
      <c r="BZ221" s="69"/>
      <c r="CA221" s="70"/>
      <c r="CB221" s="71"/>
      <c r="CC221" s="72"/>
      <c r="CD221" s="562"/>
      <c r="CE221" s="561"/>
      <c r="CF221" s="73"/>
      <c r="CG221" s="74"/>
      <c r="CH221" s="74"/>
      <c r="CI221" s="74"/>
      <c r="CJ221" s="74"/>
      <c r="CK221" s="74"/>
      <c r="CL221" s="74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31">
        <v>7.4</v>
      </c>
      <c r="DB221" s="31">
        <v>7.4</v>
      </c>
      <c r="DC221" s="31">
        <v>7.4</v>
      </c>
      <c r="DD221" s="31">
        <v>5</v>
      </c>
      <c r="DE221" s="31">
        <v>7.4</v>
      </c>
      <c r="DF221" s="108">
        <f t="shared" si="121"/>
        <v>3.7</v>
      </c>
      <c r="DG221" s="134">
        <f t="shared" si="122"/>
        <v>3.7</v>
      </c>
      <c r="DI221" s="826"/>
      <c r="DJ221" s="788"/>
    </row>
    <row r="222" spans="1:114" s="783" customFormat="1" hidden="1">
      <c r="A222" s="177"/>
      <c r="B222" s="187" t="s">
        <v>34</v>
      </c>
      <c r="C222" s="837" t="s">
        <v>54</v>
      </c>
      <c r="D222" s="31">
        <v>9</v>
      </c>
      <c r="E222" s="31">
        <v>9</v>
      </c>
      <c r="F222" s="31">
        <v>9</v>
      </c>
      <c r="G222" s="31">
        <v>9</v>
      </c>
      <c r="H222" s="134">
        <v>3</v>
      </c>
      <c r="I222" s="134"/>
      <c r="J222" s="134"/>
      <c r="K222" s="134"/>
      <c r="L222" s="134">
        <f>G222/12</f>
        <v>0.75</v>
      </c>
      <c r="M222" s="245">
        <v>0.05</v>
      </c>
      <c r="N222" s="134">
        <f>H222/12</f>
        <v>0.25</v>
      </c>
      <c r="O222" s="245">
        <v>0.05</v>
      </c>
      <c r="P222" s="245"/>
      <c r="Q222" s="245"/>
      <c r="R222" s="245"/>
      <c r="S222" s="245"/>
      <c r="T222" s="245"/>
      <c r="U222" s="245"/>
      <c r="V222" s="245"/>
      <c r="W222" s="245"/>
      <c r="X222" s="134">
        <f>O222-N222</f>
        <v>-0.2</v>
      </c>
      <c r="Y222" s="155">
        <f>O222/N222</f>
        <v>0.2</v>
      </c>
      <c r="Z222" s="134">
        <v>0.25</v>
      </c>
      <c r="AA222" s="245">
        <v>0.42</v>
      </c>
      <c r="AB222" s="134">
        <v>0.25</v>
      </c>
      <c r="AC222" s="245"/>
      <c r="AD222" s="245"/>
      <c r="AE222" s="245"/>
      <c r="AF222" s="245"/>
      <c r="AG222" s="245"/>
      <c r="AH222" s="245"/>
      <c r="AI222" s="245"/>
      <c r="AJ222" s="134">
        <f>AC222-AB222</f>
        <v>-0.25</v>
      </c>
      <c r="AK222" s="156">
        <f>AC222/AB222</f>
        <v>0</v>
      </c>
      <c r="AL222" s="134">
        <v>0.25</v>
      </c>
      <c r="AM222" s="245">
        <v>0.42</v>
      </c>
      <c r="AN222" s="134">
        <v>0.25</v>
      </c>
      <c r="AO222" s="245"/>
      <c r="AP222" s="245"/>
      <c r="AQ222" s="245"/>
      <c r="AR222" s="245"/>
      <c r="AS222" s="245"/>
      <c r="AT222" s="245"/>
      <c r="AU222" s="245"/>
      <c r="AV222" s="134">
        <f>AO222-AN222</f>
        <v>-0.25</v>
      </c>
      <c r="AW222" s="156">
        <f>AO222/AN222</f>
        <v>0</v>
      </c>
      <c r="AX222" s="31">
        <f>G222/2</f>
        <v>4.5</v>
      </c>
      <c r="AY222" s="31">
        <f>13.92-5.48</f>
        <v>8.44</v>
      </c>
      <c r="AZ222" s="109"/>
      <c r="BA222" s="62">
        <v>4.0999999999999996</v>
      </c>
      <c r="BB222" s="7"/>
      <c r="BC222" s="62">
        <v>1.73</v>
      </c>
      <c r="BD222" s="62"/>
      <c r="BE222" s="110">
        <v>0.08</v>
      </c>
      <c r="BF222" s="109"/>
      <c r="BG222" s="62"/>
      <c r="BH222" s="7"/>
      <c r="BI222" s="8"/>
      <c r="BJ222" s="426">
        <f>BA222-AZ222</f>
        <v>4.0999999999999996</v>
      </c>
      <c r="BK222" s="427" t="e">
        <f>BA222/AZ222</f>
        <v>#DIV/0!</v>
      </c>
      <c r="BL222" s="560"/>
      <c r="BM222" s="109">
        <v>0.41539999999999999</v>
      </c>
      <c r="BN222" s="62"/>
      <c r="BO222" s="470"/>
      <c r="BP222" s="64"/>
      <c r="BQ222" s="61"/>
      <c r="BR222" s="65"/>
      <c r="BS222" s="66"/>
      <c r="BT222" s="64"/>
      <c r="BU222" s="61"/>
      <c r="BV222" s="65"/>
      <c r="BW222" s="66"/>
      <c r="BX222" s="431"/>
      <c r="BY222" s="68"/>
      <c r="BZ222" s="69">
        <f>M222+BM222+BQ222+BU222</f>
        <v>0.46539999999999998</v>
      </c>
      <c r="CA222" s="70"/>
      <c r="CB222" s="71"/>
      <c r="CC222" s="72">
        <f>BZ222-E222</f>
        <v>-8.5345999999999993</v>
      </c>
      <c r="CD222" s="562">
        <v>2.1</v>
      </c>
      <c r="CE222" s="561"/>
      <c r="CF222" s="73"/>
      <c r="CG222" s="74"/>
      <c r="CH222" s="74"/>
      <c r="CI222" s="74"/>
      <c r="CJ222" s="74"/>
      <c r="CK222" s="74"/>
      <c r="CL222" s="74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31">
        <v>9</v>
      </c>
      <c r="DB222" s="31">
        <v>9</v>
      </c>
      <c r="DC222" s="31">
        <v>9</v>
      </c>
      <c r="DD222" s="31">
        <v>9.6300000000000008</v>
      </c>
      <c r="DE222" s="31">
        <v>9</v>
      </c>
      <c r="DF222" s="108">
        <f t="shared" si="121"/>
        <v>4.5</v>
      </c>
      <c r="DG222" s="134">
        <f>DF222</f>
        <v>4.5</v>
      </c>
      <c r="DI222" s="826"/>
      <c r="DJ222" s="788"/>
    </row>
    <row r="223" spans="1:114" s="783" customFormat="1" hidden="1">
      <c r="A223" s="177"/>
      <c r="B223" s="187" t="s">
        <v>187</v>
      </c>
      <c r="C223" s="837" t="s">
        <v>54</v>
      </c>
      <c r="D223" s="31"/>
      <c r="E223" s="31"/>
      <c r="F223" s="31"/>
      <c r="G223" s="31"/>
      <c r="H223" s="134"/>
      <c r="I223" s="134"/>
      <c r="J223" s="134"/>
      <c r="K223" s="134"/>
      <c r="L223" s="134"/>
      <c r="M223" s="245"/>
      <c r="N223" s="134"/>
      <c r="O223" s="245"/>
      <c r="P223" s="245"/>
      <c r="Q223" s="245"/>
      <c r="R223" s="245"/>
      <c r="S223" s="245"/>
      <c r="T223" s="245"/>
      <c r="U223" s="245"/>
      <c r="V223" s="245"/>
      <c r="W223" s="245"/>
      <c r="X223" s="134"/>
      <c r="Y223" s="155"/>
      <c r="Z223" s="134"/>
      <c r="AA223" s="245"/>
      <c r="AB223" s="134"/>
      <c r="AC223" s="245"/>
      <c r="AD223" s="245"/>
      <c r="AE223" s="245"/>
      <c r="AF223" s="245"/>
      <c r="AG223" s="245"/>
      <c r="AH223" s="245"/>
      <c r="AI223" s="245"/>
      <c r="AJ223" s="134"/>
      <c r="AK223" s="156"/>
      <c r="AL223" s="134"/>
      <c r="AM223" s="245"/>
      <c r="AN223" s="134"/>
      <c r="AO223" s="245"/>
      <c r="AP223" s="245"/>
      <c r="AQ223" s="245"/>
      <c r="AR223" s="245"/>
      <c r="AS223" s="245"/>
      <c r="AT223" s="245"/>
      <c r="AU223" s="245"/>
      <c r="AV223" s="134"/>
      <c r="AW223" s="156"/>
      <c r="AX223" s="31"/>
      <c r="AY223" s="31"/>
      <c r="AZ223" s="109"/>
      <c r="BA223" s="62"/>
      <c r="BB223" s="7"/>
      <c r="BC223" s="62"/>
      <c r="BD223" s="62"/>
      <c r="BE223" s="110"/>
      <c r="BF223" s="109"/>
      <c r="BG223" s="62"/>
      <c r="BH223" s="7"/>
      <c r="BI223" s="8"/>
      <c r="BJ223" s="426"/>
      <c r="BK223" s="427"/>
      <c r="BL223" s="560"/>
      <c r="BM223" s="109"/>
      <c r="BN223" s="62"/>
      <c r="BO223" s="470"/>
      <c r="BP223" s="64"/>
      <c r="BQ223" s="61"/>
      <c r="BR223" s="65"/>
      <c r="BS223" s="66"/>
      <c r="BT223" s="64"/>
      <c r="BU223" s="61"/>
      <c r="BV223" s="65"/>
      <c r="BW223" s="66"/>
      <c r="BX223" s="431"/>
      <c r="BY223" s="68"/>
      <c r="BZ223" s="69"/>
      <c r="CA223" s="70"/>
      <c r="CB223" s="71"/>
      <c r="CC223" s="72"/>
      <c r="CD223" s="562"/>
      <c r="CE223" s="561"/>
      <c r="CF223" s="73"/>
      <c r="CG223" s="74"/>
      <c r="CH223" s="74"/>
      <c r="CI223" s="74"/>
      <c r="CJ223" s="74"/>
      <c r="CK223" s="74"/>
      <c r="CL223" s="74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31"/>
      <c r="DB223" s="31"/>
      <c r="DC223" s="31"/>
      <c r="DD223" s="31"/>
      <c r="DE223" s="31"/>
      <c r="DF223" s="108">
        <f t="shared" si="121"/>
        <v>0</v>
      </c>
      <c r="DG223" s="134">
        <f t="shared" si="122"/>
        <v>0</v>
      </c>
      <c r="DI223" s="826"/>
      <c r="DJ223" s="788"/>
    </row>
    <row r="224" spans="1:114" s="783" customFormat="1" hidden="1">
      <c r="A224" s="177"/>
      <c r="B224" s="187" t="s">
        <v>11</v>
      </c>
      <c r="C224" s="837" t="s">
        <v>54</v>
      </c>
      <c r="D224" s="31">
        <v>47.64</v>
      </c>
      <c r="E224" s="31">
        <v>49.73</v>
      </c>
      <c r="F224" s="31">
        <v>49.73</v>
      </c>
      <c r="G224" s="31">
        <v>49.73</v>
      </c>
      <c r="H224" s="134">
        <v>66</v>
      </c>
      <c r="I224" s="134"/>
      <c r="J224" s="134"/>
      <c r="K224" s="134"/>
      <c r="L224" s="134">
        <f>G224/12</f>
        <v>4.1441666666666661</v>
      </c>
      <c r="M224" s="134">
        <v>4.8899999999999997</v>
      </c>
      <c r="N224" s="134">
        <f>H224/12</f>
        <v>5.5</v>
      </c>
      <c r="O224" s="134">
        <v>4.8899999999999997</v>
      </c>
      <c r="P224" s="134"/>
      <c r="Q224" s="134"/>
      <c r="R224" s="134"/>
      <c r="S224" s="134"/>
      <c r="T224" s="134"/>
      <c r="U224" s="134"/>
      <c r="V224" s="134"/>
      <c r="W224" s="134"/>
      <c r="X224" s="134">
        <f>O224-N224</f>
        <v>-0.61000000000000032</v>
      </c>
      <c r="Y224" s="155">
        <f>O224/N224</f>
        <v>0.88909090909090904</v>
      </c>
      <c r="Z224" s="134">
        <v>5.5</v>
      </c>
      <c r="AA224" s="134">
        <v>4.7699999999999996</v>
      </c>
      <c r="AB224" s="134">
        <v>5.5</v>
      </c>
      <c r="AC224" s="134"/>
      <c r="AD224" s="134"/>
      <c r="AE224" s="134"/>
      <c r="AF224" s="134"/>
      <c r="AG224" s="134"/>
      <c r="AH224" s="134"/>
      <c r="AI224" s="134"/>
      <c r="AJ224" s="134">
        <f>AC224-AB224</f>
        <v>-5.5</v>
      </c>
      <c r="AK224" s="156">
        <f>AC224/AB224</f>
        <v>0</v>
      </c>
      <c r="AL224" s="134">
        <v>5.5</v>
      </c>
      <c r="AM224" s="134">
        <v>4.7699999999999996</v>
      </c>
      <c r="AN224" s="134">
        <v>5.5</v>
      </c>
      <c r="AO224" s="134"/>
      <c r="AP224" s="134"/>
      <c r="AQ224" s="134"/>
      <c r="AR224" s="134"/>
      <c r="AS224" s="134"/>
      <c r="AT224" s="134"/>
      <c r="AU224" s="134"/>
      <c r="AV224" s="134">
        <f>AO224-AN224</f>
        <v>-5.5</v>
      </c>
      <c r="AW224" s="156">
        <f>AO224/AN224</f>
        <v>0</v>
      </c>
      <c r="AX224" s="31">
        <f>G224/2</f>
        <v>24.864999999999998</v>
      </c>
      <c r="AY224" s="31">
        <v>45.29</v>
      </c>
      <c r="AZ224" s="109"/>
      <c r="BA224" s="62">
        <v>29.48</v>
      </c>
      <c r="BB224" s="62"/>
      <c r="BC224" s="62">
        <v>17.07</v>
      </c>
      <c r="BD224" s="62"/>
      <c r="BE224" s="110">
        <v>2.08</v>
      </c>
      <c r="BF224" s="109"/>
      <c r="BG224" s="62"/>
      <c r="BH224" s="62"/>
      <c r="BI224" s="110"/>
      <c r="BJ224" s="426">
        <f>BA224-AZ224</f>
        <v>29.48</v>
      </c>
      <c r="BK224" s="427" t="e">
        <f>BA224/AZ224</f>
        <v>#DIV/0!</v>
      </c>
      <c r="BL224" s="560"/>
      <c r="BM224" s="109">
        <v>4.77372</v>
      </c>
      <c r="BN224" s="62"/>
      <c r="BO224" s="470"/>
      <c r="BP224" s="64"/>
      <c r="BQ224" s="61"/>
      <c r="BR224" s="65"/>
      <c r="BS224" s="66"/>
      <c r="BT224" s="64"/>
      <c r="BU224" s="61"/>
      <c r="BV224" s="65"/>
      <c r="BW224" s="66"/>
      <c r="BX224" s="431"/>
      <c r="BY224" s="68"/>
      <c r="BZ224" s="69">
        <f>M224+BM224+BQ224+BU224</f>
        <v>9.6637199999999996</v>
      </c>
      <c r="CA224" s="70"/>
      <c r="CB224" s="71"/>
      <c r="CC224" s="72">
        <f>BZ224-E224</f>
        <v>-40.066279999999999</v>
      </c>
      <c r="CD224" s="562">
        <v>58.49</v>
      </c>
      <c r="CE224" s="561"/>
      <c r="CF224" s="73"/>
      <c r="CG224" s="74"/>
      <c r="CH224" s="74"/>
      <c r="CI224" s="74"/>
      <c r="CJ224" s="74"/>
      <c r="CK224" s="74"/>
      <c r="CL224" s="74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31">
        <v>49.73</v>
      </c>
      <c r="DB224" s="31">
        <v>49.73</v>
      </c>
      <c r="DC224" s="31">
        <v>49.73</v>
      </c>
      <c r="DD224" s="31">
        <v>43.37</v>
      </c>
      <c r="DE224" s="31">
        <v>49.73</v>
      </c>
      <c r="DF224" s="108">
        <f t="shared" si="121"/>
        <v>24.864999999999998</v>
      </c>
      <c r="DG224" s="134">
        <f t="shared" si="122"/>
        <v>24.864999999999998</v>
      </c>
      <c r="DI224" s="826"/>
      <c r="DJ224" s="788"/>
    </row>
    <row r="225" spans="1:114" s="783" customFormat="1" hidden="1">
      <c r="A225" s="194"/>
      <c r="B225" s="195" t="s">
        <v>159</v>
      </c>
      <c r="C225" s="837" t="s">
        <v>54</v>
      </c>
      <c r="D225" s="31">
        <v>13.2</v>
      </c>
      <c r="E225" s="31">
        <v>13.2</v>
      </c>
      <c r="F225" s="31">
        <v>13.2</v>
      </c>
      <c r="G225" s="31">
        <v>13.2</v>
      </c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55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56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56"/>
      <c r="AX225" s="31"/>
      <c r="AY225" s="31">
        <v>13.05</v>
      </c>
      <c r="AZ225" s="109"/>
      <c r="BA225" s="62">
        <v>8.08</v>
      </c>
      <c r="BB225" s="62"/>
      <c r="BC225" s="62">
        <v>4.49</v>
      </c>
      <c r="BD225" s="62"/>
      <c r="BE225" s="110">
        <v>0.53</v>
      </c>
      <c r="BF225" s="109"/>
      <c r="BG225" s="62"/>
      <c r="BH225" s="62"/>
      <c r="BI225" s="110"/>
      <c r="BJ225" s="426"/>
      <c r="BK225" s="427"/>
      <c r="BL225" s="560"/>
      <c r="BM225" s="149"/>
      <c r="BN225" s="62"/>
      <c r="BO225" s="470"/>
      <c r="BP225" s="485"/>
      <c r="BQ225" s="483"/>
      <c r="BR225" s="486"/>
      <c r="BS225" s="487"/>
      <c r="BT225" s="485"/>
      <c r="BU225" s="483"/>
      <c r="BV225" s="486"/>
      <c r="BW225" s="487"/>
      <c r="BX225" s="440"/>
      <c r="BY225" s="488"/>
      <c r="BZ225" s="489"/>
      <c r="CA225" s="490"/>
      <c r="CB225" s="491"/>
      <c r="CC225" s="72"/>
      <c r="CD225" s="562"/>
      <c r="CE225" s="561"/>
      <c r="CF225" s="492"/>
      <c r="CG225" s="74"/>
      <c r="CH225" s="74"/>
      <c r="CI225" s="74"/>
      <c r="CJ225" s="74"/>
      <c r="CK225" s="74"/>
      <c r="CL225" s="74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31">
        <v>13.2</v>
      </c>
      <c r="DB225" s="31">
        <v>13.2</v>
      </c>
      <c r="DC225" s="31">
        <v>13.2</v>
      </c>
      <c r="DD225" s="31">
        <v>13.2</v>
      </c>
      <c r="DE225" s="31">
        <v>13.2</v>
      </c>
      <c r="DF225" s="108">
        <f t="shared" si="121"/>
        <v>6.6</v>
      </c>
      <c r="DG225" s="134">
        <f t="shared" si="122"/>
        <v>6.6</v>
      </c>
      <c r="DI225" s="826"/>
      <c r="DJ225" s="788"/>
    </row>
    <row r="226" spans="1:114" s="783" customFormat="1" hidden="1">
      <c r="A226" s="194"/>
      <c r="B226" s="195" t="s">
        <v>316</v>
      </c>
      <c r="C226" s="837"/>
      <c r="D226" s="31"/>
      <c r="E226" s="31"/>
      <c r="F226" s="31"/>
      <c r="G226" s="31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112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113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113"/>
      <c r="AX226" s="31"/>
      <c r="AY226" s="31">
        <v>0.45</v>
      </c>
      <c r="AZ226" s="109"/>
      <c r="BA226" s="62"/>
      <c r="BB226" s="62"/>
      <c r="BC226" s="62"/>
      <c r="BD226" s="62"/>
      <c r="BE226" s="110"/>
      <c r="BF226" s="109"/>
      <c r="BG226" s="62"/>
      <c r="BH226" s="103"/>
      <c r="BI226" s="104"/>
      <c r="BJ226" s="417"/>
      <c r="BK226" s="418"/>
      <c r="BL226" s="36"/>
      <c r="BM226" s="2"/>
      <c r="BN226" s="103"/>
      <c r="BO226" s="455"/>
      <c r="BP226" s="14"/>
      <c r="BQ226" s="15"/>
      <c r="BR226" s="563"/>
      <c r="BS226" s="17"/>
      <c r="BT226" s="14"/>
      <c r="BU226" s="15"/>
      <c r="BV226" s="563"/>
      <c r="BW226" s="17"/>
      <c r="BX226" s="18"/>
      <c r="BY226" s="19"/>
      <c r="BZ226" s="20"/>
      <c r="CA226" s="564"/>
      <c r="CB226" s="21"/>
      <c r="CC226" s="93"/>
      <c r="CD226" s="565"/>
      <c r="CE226" s="566"/>
      <c r="CF226" s="24"/>
      <c r="CG226" s="74"/>
      <c r="CH226" s="74"/>
      <c r="CI226" s="74"/>
      <c r="CJ226" s="74"/>
      <c r="CK226" s="74"/>
      <c r="CL226" s="74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31"/>
      <c r="DB226" s="31"/>
      <c r="DC226" s="31"/>
      <c r="DD226" s="31"/>
      <c r="DE226" s="31"/>
      <c r="DF226" s="108">
        <f t="shared" si="121"/>
        <v>0</v>
      </c>
      <c r="DG226" s="134">
        <f t="shared" si="122"/>
        <v>0</v>
      </c>
      <c r="DI226" s="826"/>
      <c r="DJ226" s="788"/>
    </row>
    <row r="227" spans="1:114" s="783" customFormat="1" hidden="1">
      <c r="A227" s="177"/>
      <c r="B227" s="187" t="s">
        <v>19</v>
      </c>
      <c r="C227" s="837" t="s">
        <v>54</v>
      </c>
      <c r="D227" s="31"/>
      <c r="E227" s="31"/>
      <c r="F227" s="31"/>
      <c r="G227" s="31"/>
      <c r="H227" s="31"/>
      <c r="I227" s="31"/>
      <c r="J227" s="31"/>
      <c r="K227" s="31"/>
      <c r="L227" s="105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106"/>
      <c r="Z227" s="105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107"/>
      <c r="AL227" s="105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107"/>
      <c r="AX227" s="108"/>
      <c r="AY227" s="31">
        <v>0.85</v>
      </c>
      <c r="AZ227" s="109"/>
      <c r="BA227" s="62">
        <v>16.760000000000002</v>
      </c>
      <c r="BB227" s="62"/>
      <c r="BC227" s="62">
        <v>12.06</v>
      </c>
      <c r="BD227" s="62"/>
      <c r="BE227" s="110">
        <v>0.87</v>
      </c>
      <c r="BF227" s="109"/>
      <c r="BG227" s="62"/>
      <c r="BH227" s="103"/>
      <c r="BI227" s="104"/>
      <c r="BJ227" s="417"/>
      <c r="BK227" s="418"/>
      <c r="BL227" s="36"/>
      <c r="BM227" s="2"/>
      <c r="BN227" s="103"/>
      <c r="BO227" s="455"/>
      <c r="BP227" s="14"/>
      <c r="BQ227" s="15"/>
      <c r="BR227" s="563"/>
      <c r="BS227" s="17"/>
      <c r="BT227" s="14"/>
      <c r="BU227" s="15"/>
      <c r="BV227" s="563"/>
      <c r="BW227" s="17"/>
      <c r="BX227" s="18"/>
      <c r="BY227" s="19"/>
      <c r="BZ227" s="20"/>
      <c r="CA227" s="564"/>
      <c r="CB227" s="21"/>
      <c r="CC227" s="93"/>
      <c r="CD227" s="565"/>
      <c r="CE227" s="566"/>
      <c r="CF227" s="24"/>
      <c r="CG227" s="74"/>
      <c r="CH227" s="74"/>
      <c r="CI227" s="74"/>
      <c r="CJ227" s="74"/>
      <c r="CK227" s="74"/>
      <c r="CL227" s="74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31"/>
      <c r="DB227" s="31"/>
      <c r="DC227" s="31"/>
      <c r="DD227" s="31"/>
      <c r="DE227" s="31"/>
      <c r="DF227" s="108">
        <f t="shared" si="121"/>
        <v>0</v>
      </c>
      <c r="DG227" s="134">
        <f t="shared" si="122"/>
        <v>0</v>
      </c>
      <c r="DI227" s="826"/>
      <c r="DJ227" s="788"/>
    </row>
    <row r="228" spans="1:114" s="783" customFormat="1" ht="24" hidden="1">
      <c r="A228" s="165"/>
      <c r="B228" s="32" t="s">
        <v>214</v>
      </c>
      <c r="C228" s="837" t="s">
        <v>54</v>
      </c>
      <c r="D228" s="31"/>
      <c r="E228" s="31"/>
      <c r="F228" s="31"/>
      <c r="G228" s="31"/>
      <c r="H228" s="33"/>
      <c r="I228" s="33"/>
      <c r="J228" s="33"/>
      <c r="K228" s="33"/>
      <c r="L228" s="98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99"/>
      <c r="Z228" s="98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100"/>
      <c r="AL228" s="98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100"/>
      <c r="AX228" s="101"/>
      <c r="AY228" s="31">
        <v>39.6</v>
      </c>
      <c r="AZ228" s="102"/>
      <c r="BA228" s="62">
        <v>6.8</v>
      </c>
      <c r="BB228" s="103"/>
      <c r="BC228" s="62">
        <v>7.06</v>
      </c>
      <c r="BD228" s="103"/>
      <c r="BE228" s="110"/>
      <c r="BF228" s="102"/>
      <c r="BG228" s="103"/>
      <c r="BH228" s="103"/>
      <c r="BI228" s="104"/>
      <c r="BJ228" s="417"/>
      <c r="BK228" s="418"/>
      <c r="BL228" s="36"/>
      <c r="BM228" s="2"/>
      <c r="BN228" s="103"/>
      <c r="BO228" s="455"/>
      <c r="BP228" s="14"/>
      <c r="BQ228" s="15"/>
      <c r="BR228" s="563"/>
      <c r="BS228" s="17"/>
      <c r="BT228" s="14"/>
      <c r="BU228" s="15"/>
      <c r="BV228" s="563"/>
      <c r="BW228" s="17"/>
      <c r="BX228" s="18"/>
      <c r="BY228" s="19"/>
      <c r="BZ228" s="20"/>
      <c r="CA228" s="564"/>
      <c r="CB228" s="21"/>
      <c r="CC228" s="93"/>
      <c r="CD228" s="565"/>
      <c r="CE228" s="566"/>
      <c r="CF228" s="24"/>
      <c r="CG228" s="74"/>
      <c r="CH228" s="74"/>
      <c r="CI228" s="74"/>
      <c r="CJ228" s="74"/>
      <c r="CK228" s="74"/>
      <c r="CL228" s="74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31"/>
      <c r="DB228" s="31"/>
      <c r="DC228" s="31"/>
      <c r="DD228" s="31"/>
      <c r="DE228" s="31"/>
      <c r="DF228" s="108">
        <f t="shared" si="121"/>
        <v>0</v>
      </c>
      <c r="DG228" s="134">
        <f t="shared" si="122"/>
        <v>0</v>
      </c>
      <c r="DI228" s="826"/>
      <c r="DJ228" s="788"/>
    </row>
    <row r="229" spans="1:114" s="783" customFormat="1" hidden="1">
      <c r="A229" s="165"/>
      <c r="B229" s="32" t="s">
        <v>167</v>
      </c>
      <c r="C229" s="837" t="s">
        <v>54</v>
      </c>
      <c r="D229" s="31"/>
      <c r="E229" s="31"/>
      <c r="F229" s="31"/>
      <c r="G229" s="31"/>
      <c r="H229" s="33"/>
      <c r="I229" s="33"/>
      <c r="J229" s="33"/>
      <c r="K229" s="33"/>
      <c r="L229" s="98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99"/>
      <c r="Z229" s="98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100"/>
      <c r="AL229" s="98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100"/>
      <c r="AX229" s="101"/>
      <c r="AY229" s="31">
        <v>39</v>
      </c>
      <c r="AZ229" s="102"/>
      <c r="BA229" s="62">
        <v>58.63</v>
      </c>
      <c r="BB229" s="103"/>
      <c r="BC229" s="62">
        <v>14.17</v>
      </c>
      <c r="BD229" s="103"/>
      <c r="BE229" s="110">
        <v>2.93</v>
      </c>
      <c r="BF229" s="102"/>
      <c r="BG229" s="103"/>
      <c r="BH229" s="103"/>
      <c r="BI229" s="104"/>
      <c r="BJ229" s="417"/>
      <c r="BK229" s="418"/>
      <c r="BL229" s="36"/>
      <c r="BM229" s="102"/>
      <c r="BN229" s="103"/>
      <c r="BO229" s="455"/>
      <c r="BP229" s="567"/>
      <c r="BQ229" s="568"/>
      <c r="BR229" s="569"/>
      <c r="BS229" s="570"/>
      <c r="BT229" s="567"/>
      <c r="BU229" s="568"/>
      <c r="BV229" s="569"/>
      <c r="BW229" s="570"/>
      <c r="BX229" s="422"/>
      <c r="BY229" s="571"/>
      <c r="BZ229" s="572"/>
      <c r="CA229" s="573"/>
      <c r="CB229" s="574"/>
      <c r="CC229" s="93"/>
      <c r="CD229" s="565"/>
      <c r="CE229" s="566"/>
      <c r="CF229" s="575"/>
      <c r="CG229" s="576"/>
      <c r="CH229" s="576"/>
      <c r="CI229" s="576"/>
      <c r="CJ229" s="576"/>
      <c r="CK229" s="576"/>
      <c r="CL229" s="576"/>
      <c r="CM229" s="577"/>
      <c r="CN229" s="577"/>
      <c r="CO229" s="577"/>
      <c r="CP229" s="577"/>
      <c r="CQ229" s="577"/>
      <c r="CR229" s="577"/>
      <c r="CS229" s="577"/>
      <c r="CT229" s="577"/>
      <c r="CU229" s="577"/>
      <c r="CV229" s="577"/>
      <c r="CW229" s="577"/>
      <c r="CX229" s="577"/>
      <c r="CY229" s="577"/>
      <c r="CZ229" s="577"/>
      <c r="DA229" s="31"/>
      <c r="DB229" s="31"/>
      <c r="DC229" s="31"/>
      <c r="DD229" s="31"/>
      <c r="DE229" s="31"/>
      <c r="DF229" s="108">
        <f t="shared" si="121"/>
        <v>0</v>
      </c>
      <c r="DG229" s="134">
        <f t="shared" si="122"/>
        <v>0</v>
      </c>
      <c r="DI229" s="826"/>
      <c r="DJ229" s="788"/>
    </row>
    <row r="230" spans="1:114" s="783" customFormat="1" hidden="1">
      <c r="A230" s="232" t="s">
        <v>325</v>
      </c>
      <c r="B230" s="166" t="s">
        <v>15</v>
      </c>
      <c r="C230" s="834" t="s">
        <v>54</v>
      </c>
      <c r="D230" s="108"/>
      <c r="E230" s="108"/>
      <c r="F230" s="108"/>
      <c r="G230" s="108"/>
      <c r="H230" s="234">
        <f t="shared" ref="H230:O230" si="123">H231+H234</f>
        <v>0</v>
      </c>
      <c r="I230" s="234">
        <f t="shared" si="123"/>
        <v>0</v>
      </c>
      <c r="J230" s="234">
        <f t="shared" si="123"/>
        <v>0</v>
      </c>
      <c r="K230" s="234">
        <f t="shared" si="123"/>
        <v>0</v>
      </c>
      <c r="L230" s="235">
        <f t="shared" si="123"/>
        <v>0</v>
      </c>
      <c r="M230" s="235">
        <f t="shared" si="123"/>
        <v>34069.527499999997</v>
      </c>
      <c r="N230" s="235">
        <f t="shared" si="123"/>
        <v>0</v>
      </c>
      <c r="O230" s="235">
        <f t="shared" si="123"/>
        <v>0</v>
      </c>
      <c r="P230" s="235"/>
      <c r="Q230" s="235"/>
      <c r="R230" s="235">
        <v>136.47999999999999</v>
      </c>
      <c r="S230" s="235">
        <f>S231+S234</f>
        <v>0</v>
      </c>
      <c r="T230" s="235">
        <f>T231+T234</f>
        <v>0</v>
      </c>
      <c r="U230" s="235">
        <f>U231+U234</f>
        <v>0</v>
      </c>
      <c r="V230" s="235"/>
      <c r="W230" s="235"/>
      <c r="X230" s="235">
        <f>O230-N230</f>
        <v>0</v>
      </c>
      <c r="Y230" s="236" t="e">
        <f>O230/N230</f>
        <v>#DIV/0!</v>
      </c>
      <c r="Z230" s="235">
        <f t="shared" ref="Z230:AG230" si="124">Z231+Z234</f>
        <v>0</v>
      </c>
      <c r="AA230" s="235">
        <f t="shared" si="124"/>
        <v>25301.008181818179</v>
      </c>
      <c r="AB230" s="235">
        <f t="shared" si="124"/>
        <v>0</v>
      </c>
      <c r="AC230" s="235">
        <f t="shared" si="124"/>
        <v>0</v>
      </c>
      <c r="AD230" s="235">
        <f t="shared" si="124"/>
        <v>0</v>
      </c>
      <c r="AE230" s="235">
        <f t="shared" si="124"/>
        <v>0</v>
      </c>
      <c r="AF230" s="235">
        <f t="shared" si="124"/>
        <v>0</v>
      </c>
      <c r="AG230" s="235">
        <f t="shared" si="124"/>
        <v>0</v>
      </c>
      <c r="AH230" s="235"/>
      <c r="AI230" s="235"/>
      <c r="AJ230" s="235">
        <f>AC230-AB230</f>
        <v>0</v>
      </c>
      <c r="AK230" s="237" t="e">
        <f>AC230/AB230</f>
        <v>#DIV/0!</v>
      </c>
      <c r="AL230" s="235">
        <f t="shared" ref="AL230:AS230" si="125">AL231+AL234</f>
        <v>0</v>
      </c>
      <c r="AM230" s="235">
        <f t="shared" si="125"/>
        <v>25301.008181818179</v>
      </c>
      <c r="AN230" s="235">
        <f t="shared" si="125"/>
        <v>0</v>
      </c>
      <c r="AO230" s="235">
        <f t="shared" si="125"/>
        <v>0</v>
      </c>
      <c r="AP230" s="235">
        <f t="shared" si="125"/>
        <v>0</v>
      </c>
      <c r="AQ230" s="235">
        <f t="shared" si="125"/>
        <v>0</v>
      </c>
      <c r="AR230" s="235">
        <f t="shared" si="125"/>
        <v>0</v>
      </c>
      <c r="AS230" s="235">
        <f t="shared" si="125"/>
        <v>0</v>
      </c>
      <c r="AT230" s="235"/>
      <c r="AU230" s="235"/>
      <c r="AV230" s="235">
        <f>AO230-AN230</f>
        <v>0</v>
      </c>
      <c r="AW230" s="237" t="e">
        <f>AO230/AN230</f>
        <v>#DIV/0!</v>
      </c>
      <c r="AX230" s="101">
        <f>G230/2</f>
        <v>0</v>
      </c>
      <c r="AY230" s="101">
        <f>SUM(AY231:AY233)</f>
        <v>10.66</v>
      </c>
      <c r="AZ230" s="238">
        <f>AZ231+AZ234</f>
        <v>0</v>
      </c>
      <c r="BA230" s="239">
        <f>SUM(BA231:BA233)</f>
        <v>231.66</v>
      </c>
      <c r="BB230" s="239">
        <f t="shared" ref="BB230:BG230" si="126">SUM(BB231:BB233)</f>
        <v>0</v>
      </c>
      <c r="BC230" s="239">
        <f t="shared" si="126"/>
        <v>75.7</v>
      </c>
      <c r="BD230" s="239">
        <f t="shared" si="126"/>
        <v>0</v>
      </c>
      <c r="BE230" s="240">
        <f t="shared" si="126"/>
        <v>20.34</v>
      </c>
      <c r="BF230" s="238">
        <f t="shared" si="126"/>
        <v>16.25</v>
      </c>
      <c r="BG230" s="239">
        <f t="shared" si="126"/>
        <v>0</v>
      </c>
      <c r="BH230" s="239"/>
      <c r="BI230" s="240"/>
      <c r="BJ230" s="417">
        <f>BA230-AZ230</f>
        <v>231.66</v>
      </c>
      <c r="BK230" s="545" t="e">
        <f>BA230/AZ230</f>
        <v>#DIV/0!</v>
      </c>
      <c r="BL230" s="546"/>
      <c r="BM230" s="238">
        <f>BM231+BM234</f>
        <v>25301.003181818181</v>
      </c>
      <c r="BN230" s="239"/>
      <c r="BO230" s="455"/>
      <c r="BP230" s="547"/>
      <c r="BQ230" s="548"/>
      <c r="BR230" s="549"/>
      <c r="BS230" s="550"/>
      <c r="BT230" s="547"/>
      <c r="BU230" s="548"/>
      <c r="BV230" s="549"/>
      <c r="BW230" s="550"/>
      <c r="BX230" s="551">
        <f>BX231</f>
        <v>0</v>
      </c>
      <c r="BY230" s="552">
        <f>F230</f>
        <v>0</v>
      </c>
      <c r="BZ230" s="553">
        <f>M230+BM230+BQ230+BU230</f>
        <v>59370.530681818178</v>
      </c>
      <c r="CA230" s="548">
        <f>BZ230-BY230</f>
        <v>59370.530681818178</v>
      </c>
      <c r="CB230" s="554" t="e">
        <f>BZ230/BY230</f>
        <v>#DIV/0!</v>
      </c>
      <c r="CC230" s="309">
        <f>BZ230-E230</f>
        <v>59370.530681818178</v>
      </c>
      <c r="CD230" s="555">
        <f>CD231+CD234</f>
        <v>1.04</v>
      </c>
      <c r="CE230" s="556">
        <f>CE231+CE234</f>
        <v>0</v>
      </c>
      <c r="CF230" s="557"/>
      <c r="CG230" s="558"/>
      <c r="CH230" s="558"/>
      <c r="CI230" s="558"/>
      <c r="CJ230" s="558"/>
      <c r="CK230" s="558"/>
      <c r="CL230" s="558"/>
      <c r="CM230" s="559"/>
      <c r="CN230" s="559"/>
      <c r="CO230" s="559"/>
      <c r="CP230" s="559"/>
      <c r="CQ230" s="559"/>
      <c r="CR230" s="559"/>
      <c r="CS230" s="559"/>
      <c r="CT230" s="559"/>
      <c r="CU230" s="559"/>
      <c r="CV230" s="559"/>
      <c r="CW230" s="559"/>
      <c r="CX230" s="559"/>
      <c r="CY230" s="559"/>
      <c r="CZ230" s="559"/>
      <c r="DA230" s="101"/>
      <c r="DB230" s="101"/>
      <c r="DC230" s="108"/>
      <c r="DD230" s="108"/>
      <c r="DE230" s="108"/>
      <c r="DF230" s="108">
        <f t="shared" si="121"/>
        <v>0</v>
      </c>
      <c r="DG230" s="134">
        <f t="shared" si="122"/>
        <v>0</v>
      </c>
      <c r="DI230" s="826"/>
      <c r="DJ230" s="788"/>
    </row>
    <row r="231" spans="1:114" s="783" customFormat="1" hidden="1">
      <c r="A231" s="177"/>
      <c r="B231" s="187" t="s">
        <v>16</v>
      </c>
      <c r="C231" s="837" t="s">
        <v>54</v>
      </c>
      <c r="D231" s="31"/>
      <c r="E231" s="31"/>
      <c r="F231" s="31"/>
      <c r="G231" s="31"/>
      <c r="H231" s="31"/>
      <c r="I231" s="31"/>
      <c r="J231" s="31"/>
      <c r="K231" s="31"/>
      <c r="L231" s="105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106"/>
      <c r="Z231" s="105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107"/>
      <c r="AL231" s="105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107"/>
      <c r="AX231" s="108"/>
      <c r="AY231" s="31">
        <v>8.02</v>
      </c>
      <c r="AZ231" s="109"/>
      <c r="BA231" s="62">
        <v>7.24</v>
      </c>
      <c r="BB231" s="62"/>
      <c r="BC231" s="62">
        <v>7.08</v>
      </c>
      <c r="BD231" s="62"/>
      <c r="BE231" s="110">
        <v>0.61</v>
      </c>
      <c r="BF231" s="109">
        <v>1.42</v>
      </c>
      <c r="BG231" s="62"/>
      <c r="BH231" s="62"/>
      <c r="BI231" s="110"/>
      <c r="BJ231" s="426"/>
      <c r="BK231" s="427"/>
      <c r="BL231" s="560"/>
      <c r="BM231" s="2"/>
      <c r="BN231" s="12"/>
      <c r="BO231" s="585"/>
      <c r="BP231" s="14"/>
      <c r="BQ231" s="15"/>
      <c r="BR231" s="563"/>
      <c r="BS231" s="17"/>
      <c r="BT231" s="14"/>
      <c r="BU231" s="15"/>
      <c r="BV231" s="563"/>
      <c r="BW231" s="17"/>
      <c r="BX231" s="18"/>
      <c r="BY231" s="19"/>
      <c r="BZ231" s="20"/>
      <c r="CA231" s="564"/>
      <c r="CB231" s="21"/>
      <c r="CC231" s="22"/>
      <c r="CD231" s="598"/>
      <c r="CE231" s="599"/>
      <c r="CF231" s="24"/>
      <c r="CG231" s="74"/>
      <c r="CH231" s="74"/>
      <c r="CI231" s="74"/>
      <c r="CJ231" s="74"/>
      <c r="CK231" s="74"/>
      <c r="CL231" s="74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31">
        <v>17.329999999999998</v>
      </c>
      <c r="DB231" s="31"/>
      <c r="DC231" s="31">
        <v>16</v>
      </c>
      <c r="DD231" s="31">
        <v>26.83</v>
      </c>
      <c r="DE231" s="31">
        <v>16</v>
      </c>
      <c r="DF231" s="108">
        <f t="shared" si="121"/>
        <v>8</v>
      </c>
      <c r="DG231" s="134">
        <f t="shared" si="122"/>
        <v>8</v>
      </c>
      <c r="DI231" s="826"/>
      <c r="DJ231" s="788"/>
    </row>
    <row r="232" spans="1:114" s="783" customFormat="1" hidden="1">
      <c r="A232" s="177"/>
      <c r="B232" s="187" t="s">
        <v>317</v>
      </c>
      <c r="C232" s="837" t="s">
        <v>54</v>
      </c>
      <c r="D232" s="31"/>
      <c r="E232" s="31"/>
      <c r="F232" s="31"/>
      <c r="G232" s="31"/>
      <c r="H232" s="31"/>
      <c r="I232" s="31"/>
      <c r="J232" s="31"/>
      <c r="K232" s="31"/>
      <c r="L232" s="105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106"/>
      <c r="Z232" s="105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107"/>
      <c r="AL232" s="105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107"/>
      <c r="AX232" s="108"/>
      <c r="AY232" s="31">
        <v>0.34</v>
      </c>
      <c r="AZ232" s="109"/>
      <c r="BA232" s="62">
        <v>49.14</v>
      </c>
      <c r="BB232" s="62"/>
      <c r="BC232" s="62">
        <v>15.31</v>
      </c>
      <c r="BD232" s="62"/>
      <c r="BE232" s="110">
        <v>5.41</v>
      </c>
      <c r="BF232" s="109">
        <v>2.41</v>
      </c>
      <c r="BG232" s="62"/>
      <c r="BH232" s="62"/>
      <c r="BI232" s="110"/>
      <c r="BJ232" s="426"/>
      <c r="BK232" s="427"/>
      <c r="BL232" s="560"/>
      <c r="BM232" s="2"/>
      <c r="BN232" s="12"/>
      <c r="BO232" s="585"/>
      <c r="BP232" s="14"/>
      <c r="BQ232" s="15"/>
      <c r="BR232" s="563"/>
      <c r="BS232" s="17"/>
      <c r="BT232" s="14"/>
      <c r="BU232" s="15"/>
      <c r="BV232" s="563"/>
      <c r="BW232" s="17"/>
      <c r="BX232" s="18"/>
      <c r="BY232" s="19"/>
      <c r="BZ232" s="20"/>
      <c r="CA232" s="564"/>
      <c r="CB232" s="21"/>
      <c r="CC232" s="22"/>
      <c r="CD232" s="598"/>
      <c r="CE232" s="599"/>
      <c r="CF232" s="24"/>
      <c r="CG232" s="74"/>
      <c r="CH232" s="74"/>
      <c r="CI232" s="74"/>
      <c r="CJ232" s="74"/>
      <c r="CK232" s="74"/>
      <c r="CL232" s="74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31">
        <v>76.599999999999994</v>
      </c>
      <c r="DB232" s="31"/>
      <c r="DC232" s="31">
        <v>1.5</v>
      </c>
      <c r="DD232" s="31">
        <v>13.38</v>
      </c>
      <c r="DE232" s="31">
        <v>1.5</v>
      </c>
      <c r="DF232" s="108">
        <f t="shared" si="121"/>
        <v>0.75</v>
      </c>
      <c r="DG232" s="134">
        <f t="shared" si="122"/>
        <v>0.75</v>
      </c>
      <c r="DI232" s="826"/>
      <c r="DJ232" s="788"/>
    </row>
    <row r="233" spans="1:114" s="783" customFormat="1" hidden="1">
      <c r="A233" s="177"/>
      <c r="B233" s="187" t="s">
        <v>18</v>
      </c>
      <c r="C233" s="837" t="s">
        <v>54</v>
      </c>
      <c r="D233" s="31"/>
      <c r="E233" s="31"/>
      <c r="F233" s="31"/>
      <c r="G233" s="31"/>
      <c r="H233" s="31"/>
      <c r="I233" s="31"/>
      <c r="J233" s="31"/>
      <c r="K233" s="31"/>
      <c r="L233" s="105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106"/>
      <c r="Z233" s="105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107"/>
      <c r="AL233" s="105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107"/>
      <c r="AX233" s="108"/>
      <c r="AY233" s="31">
        <v>2.2999999999999998</v>
      </c>
      <c r="AZ233" s="109"/>
      <c r="BA233" s="62">
        <v>175.28</v>
      </c>
      <c r="BB233" s="62"/>
      <c r="BC233" s="62">
        <v>53.31</v>
      </c>
      <c r="BD233" s="62"/>
      <c r="BE233" s="110">
        <v>14.32</v>
      </c>
      <c r="BF233" s="109">
        <v>12.42</v>
      </c>
      <c r="BG233" s="62"/>
      <c r="BH233" s="62"/>
      <c r="BI233" s="110"/>
      <c r="BJ233" s="426"/>
      <c r="BK233" s="427"/>
      <c r="BL233" s="560"/>
      <c r="BM233" s="2"/>
      <c r="BN233" s="12"/>
      <c r="BO233" s="585"/>
      <c r="BP233" s="14"/>
      <c r="BQ233" s="15"/>
      <c r="BR233" s="563"/>
      <c r="BS233" s="17"/>
      <c r="BT233" s="14"/>
      <c r="BU233" s="15"/>
      <c r="BV233" s="563"/>
      <c r="BW233" s="17"/>
      <c r="BX233" s="18"/>
      <c r="BY233" s="19"/>
      <c r="BZ233" s="20"/>
      <c r="CA233" s="564"/>
      <c r="CB233" s="21"/>
      <c r="CC233" s="22"/>
      <c r="CD233" s="598"/>
      <c r="CE233" s="599"/>
      <c r="CF233" s="24"/>
      <c r="CG233" s="74"/>
      <c r="CH233" s="74"/>
      <c r="CI233" s="74"/>
      <c r="CJ233" s="74"/>
      <c r="CK233" s="74"/>
      <c r="CL233" s="74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31">
        <v>270.64999999999998</v>
      </c>
      <c r="DB233" s="31"/>
      <c r="DC233" s="31">
        <v>5</v>
      </c>
      <c r="DD233" s="31"/>
      <c r="DE233" s="31">
        <v>5</v>
      </c>
      <c r="DF233" s="108">
        <f t="shared" si="121"/>
        <v>2.5</v>
      </c>
      <c r="DG233" s="134">
        <f t="shared" si="122"/>
        <v>2.5</v>
      </c>
      <c r="DI233" s="826"/>
      <c r="DJ233" s="788"/>
    </row>
    <row r="234" spans="1:114" s="783" customFormat="1" hidden="1">
      <c r="A234" s="247" t="s">
        <v>324</v>
      </c>
      <c r="B234" s="248" t="s">
        <v>22</v>
      </c>
      <c r="C234" s="838" t="s">
        <v>54</v>
      </c>
      <c r="D234" s="108">
        <f>SUM(D235)</f>
        <v>259.38</v>
      </c>
      <c r="E234" s="108">
        <f>SUM(E235)</f>
        <v>214.35</v>
      </c>
      <c r="F234" s="108">
        <v>214.35</v>
      </c>
      <c r="G234" s="108">
        <v>214.35</v>
      </c>
      <c r="H234" s="251">
        <f t="shared" ref="H234:O234" si="127">H235+H271</f>
        <v>0</v>
      </c>
      <c r="I234" s="251">
        <f t="shared" si="127"/>
        <v>0</v>
      </c>
      <c r="J234" s="251">
        <f t="shared" si="127"/>
        <v>0</v>
      </c>
      <c r="K234" s="251">
        <f t="shared" si="127"/>
        <v>0</v>
      </c>
      <c r="L234" s="233">
        <f t="shared" si="127"/>
        <v>0</v>
      </c>
      <c r="M234" s="233">
        <f t="shared" si="127"/>
        <v>34069.527499999997</v>
      </c>
      <c r="N234" s="233">
        <f t="shared" si="127"/>
        <v>0</v>
      </c>
      <c r="O234" s="233">
        <f t="shared" si="127"/>
        <v>0</v>
      </c>
      <c r="P234" s="233"/>
      <c r="Q234" s="233"/>
      <c r="R234" s="233">
        <v>136.47999999999999</v>
      </c>
      <c r="S234" s="233">
        <f>S235+S271</f>
        <v>0</v>
      </c>
      <c r="T234" s="233">
        <f>T235+T271</f>
        <v>0</v>
      </c>
      <c r="U234" s="233">
        <f>U235+U271</f>
        <v>0</v>
      </c>
      <c r="V234" s="233"/>
      <c r="W234" s="233"/>
      <c r="X234" s="233">
        <f>O234-N234</f>
        <v>0</v>
      </c>
      <c r="Y234" s="252" t="e">
        <f>O234/N234</f>
        <v>#DIV/0!</v>
      </c>
      <c r="Z234" s="233">
        <f t="shared" ref="Z234:AG234" si="128">Z235+Z271</f>
        <v>0</v>
      </c>
      <c r="AA234" s="233">
        <f t="shared" si="128"/>
        <v>25301.008181818179</v>
      </c>
      <c r="AB234" s="233">
        <f t="shared" si="128"/>
        <v>0</v>
      </c>
      <c r="AC234" s="233">
        <f t="shared" si="128"/>
        <v>0</v>
      </c>
      <c r="AD234" s="233">
        <f t="shared" si="128"/>
        <v>0</v>
      </c>
      <c r="AE234" s="233">
        <f t="shared" si="128"/>
        <v>0</v>
      </c>
      <c r="AF234" s="233">
        <f t="shared" si="128"/>
        <v>0</v>
      </c>
      <c r="AG234" s="233">
        <f t="shared" si="128"/>
        <v>0</v>
      </c>
      <c r="AH234" s="233"/>
      <c r="AI234" s="233"/>
      <c r="AJ234" s="233">
        <f>AC234-AB234</f>
        <v>0</v>
      </c>
      <c r="AK234" s="253" t="e">
        <f>AC234/AB234</f>
        <v>#DIV/0!</v>
      </c>
      <c r="AL234" s="233">
        <f t="shared" ref="AL234:AS234" si="129">AL235+AL271</f>
        <v>0</v>
      </c>
      <c r="AM234" s="233">
        <f t="shared" si="129"/>
        <v>25301.008181818179</v>
      </c>
      <c r="AN234" s="233">
        <f t="shared" si="129"/>
        <v>0</v>
      </c>
      <c r="AO234" s="233">
        <f t="shared" si="129"/>
        <v>0</v>
      </c>
      <c r="AP234" s="233">
        <f t="shared" si="129"/>
        <v>0</v>
      </c>
      <c r="AQ234" s="233">
        <f t="shared" si="129"/>
        <v>0</v>
      </c>
      <c r="AR234" s="233">
        <f t="shared" si="129"/>
        <v>0</v>
      </c>
      <c r="AS234" s="233">
        <f t="shared" si="129"/>
        <v>0</v>
      </c>
      <c r="AT234" s="233"/>
      <c r="AU234" s="233"/>
      <c r="AV234" s="233">
        <f>AO234-AN234</f>
        <v>0</v>
      </c>
      <c r="AW234" s="253" t="e">
        <f>AO234/AN234</f>
        <v>#DIV/0!</v>
      </c>
      <c r="AX234" s="233">
        <f>G234/2</f>
        <v>107.175</v>
      </c>
      <c r="AY234" s="233">
        <v>202.74</v>
      </c>
      <c r="AZ234" s="254">
        <f>AZ235+AZ271</f>
        <v>0</v>
      </c>
      <c r="BA234" s="255">
        <f>SUM(BA235)</f>
        <v>143.63999999999999</v>
      </c>
      <c r="BB234" s="255">
        <f t="shared" ref="BB234:BG234" si="130">SUM(BB235)</f>
        <v>0</v>
      </c>
      <c r="BC234" s="255">
        <f t="shared" si="130"/>
        <v>56.47</v>
      </c>
      <c r="BD234" s="255">
        <f t="shared" si="130"/>
        <v>0</v>
      </c>
      <c r="BE234" s="256">
        <f t="shared" si="130"/>
        <v>8</v>
      </c>
      <c r="BF234" s="254">
        <f t="shared" si="130"/>
        <v>4.2</v>
      </c>
      <c r="BG234" s="255">
        <f t="shared" si="130"/>
        <v>0</v>
      </c>
      <c r="BH234" s="255"/>
      <c r="BI234" s="256"/>
      <c r="BJ234" s="578">
        <f>BA234-AZ234</f>
        <v>143.63999999999999</v>
      </c>
      <c r="BK234" s="579" t="e">
        <f>BA234/AZ234</f>
        <v>#DIV/0!</v>
      </c>
      <c r="BL234" s="580"/>
      <c r="BM234" s="238">
        <f>BM235+BM271</f>
        <v>25301.003181818181</v>
      </c>
      <c r="BN234" s="239"/>
      <c r="BO234" s="455"/>
      <c r="BP234" s="547"/>
      <c r="BQ234" s="548"/>
      <c r="BR234" s="549"/>
      <c r="BS234" s="550"/>
      <c r="BT234" s="547"/>
      <c r="BU234" s="548"/>
      <c r="BV234" s="549"/>
      <c r="BW234" s="550"/>
      <c r="BX234" s="551">
        <f>BX235</f>
        <v>0</v>
      </c>
      <c r="BY234" s="552">
        <f>F234</f>
        <v>214.35</v>
      </c>
      <c r="BZ234" s="553">
        <f>M234+BM234+BQ234+BU234</f>
        <v>59370.530681818178</v>
      </c>
      <c r="CA234" s="548">
        <f>BZ234-BY234</f>
        <v>59156.180681818179</v>
      </c>
      <c r="CB234" s="554">
        <f>BZ234/BY234</f>
        <v>276.97938270034138</v>
      </c>
      <c r="CC234" s="309">
        <f>BZ234-E234</f>
        <v>59156.180681818179</v>
      </c>
      <c r="CD234" s="555">
        <f>CD235+CD271</f>
        <v>1.04</v>
      </c>
      <c r="CE234" s="556">
        <f>CE235+CE271</f>
        <v>0</v>
      </c>
      <c r="CF234" s="557"/>
      <c r="CG234" s="558"/>
      <c r="CH234" s="558"/>
      <c r="CI234" s="558"/>
      <c r="CJ234" s="558"/>
      <c r="CK234" s="558"/>
      <c r="CL234" s="558"/>
      <c r="CM234" s="559"/>
      <c r="CN234" s="559"/>
      <c r="CO234" s="559"/>
      <c r="CP234" s="559"/>
      <c r="CQ234" s="559"/>
      <c r="CR234" s="559"/>
      <c r="CS234" s="559"/>
      <c r="CT234" s="559"/>
      <c r="CU234" s="559"/>
      <c r="CV234" s="559"/>
      <c r="CW234" s="559"/>
      <c r="CX234" s="559"/>
      <c r="CY234" s="559"/>
      <c r="CZ234" s="559"/>
      <c r="DA234" s="233">
        <f>SUM(DA235)</f>
        <v>214.35</v>
      </c>
      <c r="DB234" s="233">
        <f>SUM(DB235)</f>
        <v>214.35</v>
      </c>
      <c r="DC234" s="108"/>
      <c r="DD234" s="108"/>
      <c r="DE234" s="108"/>
      <c r="DF234" s="108"/>
      <c r="DG234" s="117"/>
      <c r="DI234" s="826"/>
      <c r="DJ234" s="788"/>
    </row>
    <row r="235" spans="1:114" s="783" customFormat="1" hidden="1">
      <c r="A235" s="177"/>
      <c r="B235" s="187" t="s">
        <v>42</v>
      </c>
      <c r="C235" s="837" t="s">
        <v>54</v>
      </c>
      <c r="D235" s="31">
        <v>259.38</v>
      </c>
      <c r="E235" s="31">
        <v>214.35</v>
      </c>
      <c r="F235" s="31">
        <v>214.35</v>
      </c>
      <c r="G235" s="31">
        <v>214.35</v>
      </c>
      <c r="H235" s="31"/>
      <c r="I235" s="31"/>
      <c r="J235" s="31"/>
      <c r="K235" s="31"/>
      <c r="L235" s="105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106"/>
      <c r="Z235" s="105"/>
      <c r="AA235" s="31">
        <v>0.51</v>
      </c>
      <c r="AB235" s="31"/>
      <c r="AC235" s="31"/>
      <c r="AD235" s="31"/>
      <c r="AE235" s="31"/>
      <c r="AF235" s="31"/>
      <c r="AG235" s="31"/>
      <c r="AH235" s="31"/>
      <c r="AI235" s="31"/>
      <c r="AJ235" s="31"/>
      <c r="AK235" s="107"/>
      <c r="AL235" s="105"/>
      <c r="AM235" s="31">
        <v>0.51</v>
      </c>
      <c r="AN235" s="31"/>
      <c r="AO235" s="31"/>
      <c r="AP235" s="31"/>
      <c r="AQ235" s="31"/>
      <c r="AR235" s="31"/>
      <c r="AS235" s="31"/>
      <c r="AT235" s="31"/>
      <c r="AU235" s="31"/>
      <c r="AV235" s="31"/>
      <c r="AW235" s="107"/>
      <c r="AX235" s="108"/>
      <c r="AY235" s="31">
        <v>202.74</v>
      </c>
      <c r="AZ235" s="109"/>
      <c r="BA235" s="62">
        <v>143.63999999999999</v>
      </c>
      <c r="BB235" s="62"/>
      <c r="BC235" s="62">
        <v>56.47</v>
      </c>
      <c r="BD235" s="62"/>
      <c r="BE235" s="110">
        <v>8</v>
      </c>
      <c r="BF235" s="109">
        <v>4.2</v>
      </c>
      <c r="BG235" s="62"/>
      <c r="BH235" s="62"/>
      <c r="BI235" s="110"/>
      <c r="BJ235" s="426">
        <f>BA235-AZ235</f>
        <v>143.63999999999999</v>
      </c>
      <c r="BK235" s="427"/>
      <c r="BL235" s="560"/>
      <c r="BM235" s="149">
        <v>0.505</v>
      </c>
      <c r="BN235" s="150"/>
      <c r="BO235" s="484"/>
      <c r="BP235" s="485"/>
      <c r="BQ235" s="483"/>
      <c r="BR235" s="486"/>
      <c r="BS235" s="487"/>
      <c r="BT235" s="485"/>
      <c r="BU235" s="483"/>
      <c r="BV235" s="486"/>
      <c r="BW235" s="487"/>
      <c r="BX235" s="440"/>
      <c r="BY235" s="488"/>
      <c r="BZ235" s="489">
        <f>M235+BM235+BQ235+BU235</f>
        <v>0.505</v>
      </c>
      <c r="CA235" s="490"/>
      <c r="CB235" s="491"/>
      <c r="CC235" s="246">
        <f>BZ235-E235</f>
        <v>-213.845</v>
      </c>
      <c r="CD235" s="581">
        <v>1.04</v>
      </c>
      <c r="CE235" s="582"/>
      <c r="CF235" s="492"/>
      <c r="CG235" s="74"/>
      <c r="CH235" s="74"/>
      <c r="CI235" s="74"/>
      <c r="CJ235" s="74"/>
      <c r="CK235" s="74"/>
      <c r="CL235" s="74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31">
        <v>214.35</v>
      </c>
      <c r="DB235" s="31">
        <v>214.35</v>
      </c>
      <c r="DC235" s="31">
        <f>250.35+11.26</f>
        <v>261.61</v>
      </c>
      <c r="DD235" s="31">
        <v>229.37</v>
      </c>
      <c r="DE235" s="31">
        <f>250.35+11.26</f>
        <v>261.61</v>
      </c>
      <c r="DF235" s="108">
        <f t="shared" si="121"/>
        <v>130.80500000000001</v>
      </c>
      <c r="DG235" s="134">
        <f>DF235</f>
        <v>130.80500000000001</v>
      </c>
      <c r="DH235" s="835"/>
      <c r="DI235" s="826"/>
      <c r="DJ235" s="788"/>
    </row>
    <row r="236" spans="1:114" s="783" customFormat="1">
      <c r="A236" s="257" t="s">
        <v>269</v>
      </c>
      <c r="B236" s="258" t="s">
        <v>161</v>
      </c>
      <c r="C236" s="838" t="s">
        <v>54</v>
      </c>
      <c r="D236" s="108">
        <f>SUM(D237,D242,D247,D251,D257)</f>
        <v>2560.8000000000002</v>
      </c>
      <c r="E236" s="108">
        <f>SUM(E237,E242,E247,E251,E257)</f>
        <v>2356.88</v>
      </c>
      <c r="F236" s="108">
        <f>SUM(F237,F242,F247,F251,F257)</f>
        <v>2356.88</v>
      </c>
      <c r="G236" s="108">
        <f>SUM(G237,G242,G247,G251,G257)</f>
        <v>2356.88</v>
      </c>
      <c r="H236" s="108"/>
      <c r="I236" s="108"/>
      <c r="J236" s="108"/>
      <c r="K236" s="108"/>
      <c r="L236" s="260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261"/>
      <c r="Z236" s="260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262"/>
      <c r="AL236" s="260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262"/>
      <c r="AX236" s="108"/>
      <c r="AY236" s="108">
        <f>SUM(AY237,AY242,AY247,AY251,AY257)</f>
        <v>2311.06</v>
      </c>
      <c r="AZ236" s="263"/>
      <c r="BA236" s="264">
        <f>SUM(BA237,BA242,BA247,BA251,BA257)</f>
        <v>1456.0900000000001</v>
      </c>
      <c r="BB236" s="264">
        <f t="shared" ref="BB236:BG236" si="131">SUM(BB237,BB242,BB247,BB251,BB257)</f>
        <v>0</v>
      </c>
      <c r="BC236" s="264">
        <f t="shared" si="131"/>
        <v>591.67049999999995</v>
      </c>
      <c r="BD236" s="264">
        <f t="shared" si="131"/>
        <v>0</v>
      </c>
      <c r="BE236" s="265">
        <f t="shared" si="131"/>
        <v>164.45</v>
      </c>
      <c r="BF236" s="263">
        <f t="shared" si="131"/>
        <v>219.62</v>
      </c>
      <c r="BG236" s="264">
        <f t="shared" si="131"/>
        <v>40.007499999999993</v>
      </c>
      <c r="BH236" s="264"/>
      <c r="BI236" s="265"/>
      <c r="BJ236" s="426"/>
      <c r="BK236" s="583"/>
      <c r="BL236" s="584"/>
      <c r="BM236" s="254"/>
      <c r="BN236" s="255"/>
      <c r="BO236" s="585"/>
      <c r="BP236" s="586"/>
      <c r="BQ236" s="587"/>
      <c r="BR236" s="588"/>
      <c r="BS236" s="589"/>
      <c r="BT236" s="586"/>
      <c r="BU236" s="587"/>
      <c r="BV236" s="588"/>
      <c r="BW236" s="589"/>
      <c r="BX236" s="590"/>
      <c r="BY236" s="591"/>
      <c r="BZ236" s="592"/>
      <c r="CA236" s="593"/>
      <c r="CB236" s="594"/>
      <c r="CC236" s="250"/>
      <c r="CD236" s="595"/>
      <c r="CE236" s="596"/>
      <c r="CF236" s="597"/>
      <c r="CG236" s="558"/>
      <c r="CH236" s="558"/>
      <c r="CI236" s="558"/>
      <c r="CJ236" s="558"/>
      <c r="CK236" s="558"/>
      <c r="CL236" s="558"/>
      <c r="CM236" s="559"/>
      <c r="CN236" s="559"/>
      <c r="CO236" s="559"/>
      <c r="CP236" s="559"/>
      <c r="CQ236" s="559"/>
      <c r="CR236" s="559"/>
      <c r="CS236" s="559"/>
      <c r="CT236" s="559"/>
      <c r="CU236" s="559"/>
      <c r="CV236" s="559"/>
      <c r="CW236" s="559"/>
      <c r="CX236" s="559"/>
      <c r="CY236" s="559"/>
      <c r="CZ236" s="559"/>
      <c r="DA236" s="108">
        <f t="shared" ref="DA236:DG236" si="132">SUM(DA237,DA242,DA247,DA251,DA257)</f>
        <v>2356.8750800000003</v>
      </c>
      <c r="DB236" s="108">
        <f t="shared" si="132"/>
        <v>2356.8750799999998</v>
      </c>
      <c r="DC236" s="108">
        <f t="shared" si="132"/>
        <v>3109.6136900000001</v>
      </c>
      <c r="DD236" s="108">
        <f t="shared" si="132"/>
        <v>2879.03</v>
      </c>
      <c r="DE236" s="108">
        <f t="shared" si="132"/>
        <v>3109.6136900000001</v>
      </c>
      <c r="DF236" s="108">
        <f t="shared" si="132"/>
        <v>1282.630345</v>
      </c>
      <c r="DG236" s="108">
        <f t="shared" si="132"/>
        <v>1282.620345</v>
      </c>
      <c r="DI236" s="826"/>
      <c r="DJ236" s="788"/>
    </row>
    <row r="237" spans="1:114" s="783" customFormat="1">
      <c r="A237" s="257" t="s">
        <v>270</v>
      </c>
      <c r="B237" s="178" t="s">
        <v>2</v>
      </c>
      <c r="C237" s="838" t="s">
        <v>54</v>
      </c>
      <c r="D237" s="108">
        <f>SUM(D238,D241)</f>
        <v>869</v>
      </c>
      <c r="E237" s="108">
        <f>SUM(E238,E241)</f>
        <v>869</v>
      </c>
      <c r="F237" s="108">
        <f>SUM(F238,F241)</f>
        <v>869</v>
      </c>
      <c r="G237" s="108">
        <f>SUM(G238,G241)</f>
        <v>869</v>
      </c>
      <c r="H237" s="260">
        <f t="shared" ref="H237:U237" si="133">H238+H241</f>
        <v>0</v>
      </c>
      <c r="I237" s="260">
        <f t="shared" si="133"/>
        <v>0</v>
      </c>
      <c r="J237" s="260">
        <f t="shared" si="133"/>
        <v>0</v>
      </c>
      <c r="K237" s="260">
        <f t="shared" si="133"/>
        <v>0</v>
      </c>
      <c r="L237" s="108">
        <f t="shared" si="133"/>
        <v>0</v>
      </c>
      <c r="M237" s="108">
        <f t="shared" si="133"/>
        <v>0</v>
      </c>
      <c r="N237" s="108">
        <f t="shared" si="133"/>
        <v>0</v>
      </c>
      <c r="O237" s="108">
        <f t="shared" si="133"/>
        <v>0</v>
      </c>
      <c r="P237" s="108"/>
      <c r="Q237" s="108"/>
      <c r="R237" s="108">
        <v>136.47999999999999</v>
      </c>
      <c r="S237" s="108">
        <f t="shared" si="133"/>
        <v>0</v>
      </c>
      <c r="T237" s="108">
        <f t="shared" si="133"/>
        <v>0</v>
      </c>
      <c r="U237" s="108">
        <f t="shared" si="133"/>
        <v>0</v>
      </c>
      <c r="V237" s="108"/>
      <c r="W237" s="108"/>
      <c r="X237" s="108">
        <f>O237-N237</f>
        <v>0</v>
      </c>
      <c r="Y237" s="261" t="e">
        <f>O237/N237</f>
        <v>#DIV/0!</v>
      </c>
      <c r="Z237" s="108">
        <f t="shared" ref="Z237:AG237" si="134">Z238+Z241</f>
        <v>0</v>
      </c>
      <c r="AA237" s="108">
        <f t="shared" si="134"/>
        <v>0</v>
      </c>
      <c r="AB237" s="108">
        <f t="shared" si="134"/>
        <v>0</v>
      </c>
      <c r="AC237" s="108">
        <f t="shared" si="134"/>
        <v>0</v>
      </c>
      <c r="AD237" s="108">
        <f t="shared" si="134"/>
        <v>0</v>
      </c>
      <c r="AE237" s="108">
        <f t="shared" si="134"/>
        <v>0</v>
      </c>
      <c r="AF237" s="108">
        <f t="shared" si="134"/>
        <v>0</v>
      </c>
      <c r="AG237" s="108">
        <f t="shared" si="134"/>
        <v>0</v>
      </c>
      <c r="AH237" s="108"/>
      <c r="AI237" s="108"/>
      <c r="AJ237" s="108">
        <f>AC237-AB237</f>
        <v>0</v>
      </c>
      <c r="AK237" s="262" t="e">
        <f>AC237/AB237</f>
        <v>#DIV/0!</v>
      </c>
      <c r="AL237" s="108">
        <f t="shared" ref="AL237:AS237" si="135">AL238+AL241</f>
        <v>0</v>
      </c>
      <c r="AM237" s="108">
        <f t="shared" si="135"/>
        <v>0</v>
      </c>
      <c r="AN237" s="108">
        <f t="shared" si="135"/>
        <v>0</v>
      </c>
      <c r="AO237" s="108">
        <f t="shared" si="135"/>
        <v>0</v>
      </c>
      <c r="AP237" s="108">
        <f t="shared" si="135"/>
        <v>0</v>
      </c>
      <c r="AQ237" s="108">
        <f t="shared" si="135"/>
        <v>0</v>
      </c>
      <c r="AR237" s="108">
        <f t="shared" si="135"/>
        <v>0</v>
      </c>
      <c r="AS237" s="108">
        <f t="shared" si="135"/>
        <v>0</v>
      </c>
      <c r="AT237" s="108"/>
      <c r="AU237" s="108"/>
      <c r="AV237" s="108">
        <f>AO237-AN237</f>
        <v>0</v>
      </c>
      <c r="AW237" s="262" t="e">
        <f>AO237/AN237</f>
        <v>#DIV/0!</v>
      </c>
      <c r="AX237" s="108">
        <f>G237/2</f>
        <v>434.5</v>
      </c>
      <c r="AY237" s="108">
        <f t="shared" ref="AY237:BE237" si="136">AY238+AY241</f>
        <v>868.99999999999989</v>
      </c>
      <c r="AZ237" s="263">
        <f t="shared" si="136"/>
        <v>0</v>
      </c>
      <c r="BA237" s="264">
        <f>BA238+BA241</f>
        <v>589.61</v>
      </c>
      <c r="BB237" s="264">
        <f t="shared" si="136"/>
        <v>0</v>
      </c>
      <c r="BC237" s="264">
        <f t="shared" si="136"/>
        <v>263.37049999999999</v>
      </c>
      <c r="BD237" s="264">
        <f t="shared" si="136"/>
        <v>0</v>
      </c>
      <c r="BE237" s="265">
        <f t="shared" si="136"/>
        <v>16.02</v>
      </c>
      <c r="BF237" s="263">
        <f>BF238+BF241</f>
        <v>131.77000000000001</v>
      </c>
      <c r="BG237" s="264">
        <f>BG238+BG241</f>
        <v>39.097499999999997</v>
      </c>
      <c r="BH237" s="264"/>
      <c r="BI237" s="265"/>
      <c r="BJ237" s="426">
        <f>BA237-AZ237</f>
        <v>589.61</v>
      </c>
      <c r="BK237" s="583" t="e">
        <f>BA237/AZ237</f>
        <v>#DIV/0!</v>
      </c>
      <c r="BL237" s="584"/>
      <c r="BM237" s="238">
        <f>BM238+BM241</f>
        <v>0</v>
      </c>
      <c r="BN237" s="239"/>
      <c r="BO237" s="455"/>
      <c r="BP237" s="547"/>
      <c r="BQ237" s="548"/>
      <c r="BR237" s="549"/>
      <c r="BS237" s="550"/>
      <c r="BT237" s="547"/>
      <c r="BU237" s="548"/>
      <c r="BV237" s="549"/>
      <c r="BW237" s="550"/>
      <c r="BX237" s="551">
        <f>BX238</f>
        <v>0</v>
      </c>
      <c r="BY237" s="552">
        <f>F237</f>
        <v>869</v>
      </c>
      <c r="BZ237" s="553">
        <f>M237+BM237+BQ237+BU237</f>
        <v>0</v>
      </c>
      <c r="CA237" s="548">
        <f>BZ237-BY237</f>
        <v>-869</v>
      </c>
      <c r="CB237" s="554">
        <f>BZ237/BY237</f>
        <v>0</v>
      </c>
      <c r="CC237" s="309">
        <f>BZ237-E237</f>
        <v>-869</v>
      </c>
      <c r="CD237" s="555">
        <f>CD238+CD241</f>
        <v>0</v>
      </c>
      <c r="CE237" s="556">
        <f>CE238+CE241</f>
        <v>0</v>
      </c>
      <c r="CF237" s="557"/>
      <c r="CG237" s="558"/>
      <c r="CH237" s="558"/>
      <c r="CI237" s="558"/>
      <c r="CJ237" s="558"/>
      <c r="CK237" s="558"/>
      <c r="CL237" s="558"/>
      <c r="CM237" s="559"/>
      <c r="CN237" s="559"/>
      <c r="CO237" s="559"/>
      <c r="CP237" s="559"/>
      <c r="CQ237" s="559"/>
      <c r="CR237" s="559"/>
      <c r="CS237" s="559"/>
      <c r="CT237" s="559"/>
      <c r="CU237" s="559"/>
      <c r="CV237" s="559"/>
      <c r="CW237" s="559"/>
      <c r="CX237" s="559"/>
      <c r="CY237" s="559"/>
      <c r="CZ237" s="559"/>
      <c r="DA237" s="108">
        <f>DA238+DA241</f>
        <v>868.99908000000005</v>
      </c>
      <c r="DB237" s="108">
        <f>DB238+DB241</f>
        <v>868.99908000000005</v>
      </c>
      <c r="DC237" s="108">
        <f>SUM(DC238,DC241)</f>
        <v>1001.00369</v>
      </c>
      <c r="DD237" s="108">
        <f>SUM(DD238,DD241)</f>
        <v>999.32</v>
      </c>
      <c r="DE237" s="108">
        <f>SUM(DE238,DE241)</f>
        <v>1001.00369</v>
      </c>
      <c r="DF237" s="108">
        <f>SUM(DF238,DF241)</f>
        <v>462.09034500000001</v>
      </c>
      <c r="DG237" s="108">
        <f>SUM(DG238,DG241)</f>
        <v>462.09034500000001</v>
      </c>
      <c r="DI237" s="826"/>
      <c r="DJ237" s="788"/>
    </row>
    <row r="238" spans="1:114" s="783" customFormat="1">
      <c r="A238" s="165"/>
      <c r="B238" s="32" t="s">
        <v>3</v>
      </c>
      <c r="C238" s="836" t="s">
        <v>54</v>
      </c>
      <c r="D238" s="33">
        <v>722.36</v>
      </c>
      <c r="E238" s="33">
        <v>722.36</v>
      </c>
      <c r="F238" s="33">
        <v>722.36</v>
      </c>
      <c r="G238" s="33">
        <v>722.36</v>
      </c>
      <c r="H238" s="33"/>
      <c r="I238" s="33"/>
      <c r="J238" s="33"/>
      <c r="K238" s="33"/>
      <c r="L238" s="98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99"/>
      <c r="Z238" s="98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100"/>
      <c r="AL238" s="98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100"/>
      <c r="AX238" s="101"/>
      <c r="AY238" s="31">
        <f>588.13+219.36-17.82-67.31</f>
        <v>722.3599999999999</v>
      </c>
      <c r="AZ238" s="102"/>
      <c r="BA238" s="103">
        <v>490.11</v>
      </c>
      <c r="BB238" s="103"/>
      <c r="BC238" s="103">
        <v>218.93049999999999</v>
      </c>
      <c r="BD238" s="103"/>
      <c r="BE238" s="104">
        <v>13.32</v>
      </c>
      <c r="BF238" s="102">
        <v>109.39</v>
      </c>
      <c r="BG238" s="103">
        <v>32.5</v>
      </c>
      <c r="BH238" s="103"/>
      <c r="BI238" s="104"/>
      <c r="BJ238" s="417"/>
      <c r="BK238" s="418"/>
      <c r="BL238" s="36"/>
      <c r="BM238" s="2"/>
      <c r="BN238" s="12"/>
      <c r="BO238" s="585"/>
      <c r="BP238" s="14"/>
      <c r="BQ238" s="15"/>
      <c r="BR238" s="563"/>
      <c r="BS238" s="17"/>
      <c r="BT238" s="14"/>
      <c r="BU238" s="15"/>
      <c r="BV238" s="563"/>
      <c r="BW238" s="17"/>
      <c r="BX238" s="18"/>
      <c r="BY238" s="19"/>
      <c r="BZ238" s="20"/>
      <c r="CA238" s="564"/>
      <c r="CB238" s="21"/>
      <c r="CC238" s="22"/>
      <c r="CD238" s="598"/>
      <c r="CE238" s="599"/>
      <c r="CF238" s="24"/>
      <c r="CG238" s="74"/>
      <c r="CH238" s="74"/>
      <c r="CI238" s="74"/>
      <c r="CJ238" s="74"/>
      <c r="CK238" s="74"/>
      <c r="CL238" s="74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31">
        <v>722.36</v>
      </c>
      <c r="DB238" s="31">
        <v>722.36</v>
      </c>
      <c r="DC238" s="33">
        <v>768.23</v>
      </c>
      <c r="DD238" s="33">
        <v>787.98</v>
      </c>
      <c r="DE238" s="33">
        <v>768.23</v>
      </c>
      <c r="DF238" s="108">
        <f>DE238/2</f>
        <v>384.11500000000001</v>
      </c>
      <c r="DG238" s="134">
        <f>DF238</f>
        <v>384.11500000000001</v>
      </c>
      <c r="DI238" s="826"/>
      <c r="DJ238" s="788"/>
    </row>
    <row r="239" spans="1:114" s="783" customFormat="1">
      <c r="A239" s="177"/>
      <c r="B239" s="212" t="s">
        <v>38</v>
      </c>
      <c r="C239" s="837" t="s">
        <v>82</v>
      </c>
      <c r="D239" s="31">
        <v>3</v>
      </c>
      <c r="E239" s="31">
        <v>3</v>
      </c>
      <c r="F239" s="31">
        <v>3</v>
      </c>
      <c r="G239" s="31">
        <v>3</v>
      </c>
      <c r="H239" s="31"/>
      <c r="I239" s="31"/>
      <c r="J239" s="31"/>
      <c r="K239" s="31"/>
      <c r="L239" s="105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106"/>
      <c r="Z239" s="105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107"/>
      <c r="AL239" s="105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107"/>
      <c r="AX239" s="108"/>
      <c r="AY239" s="31">
        <v>3</v>
      </c>
      <c r="AZ239" s="109"/>
      <c r="BA239" s="62"/>
      <c r="BB239" s="62"/>
      <c r="BC239" s="62"/>
      <c r="BD239" s="62"/>
      <c r="BE239" s="110"/>
      <c r="BF239" s="109"/>
      <c r="BG239" s="62"/>
      <c r="BH239" s="62"/>
      <c r="BI239" s="110"/>
      <c r="BJ239" s="426"/>
      <c r="BK239" s="427"/>
      <c r="BL239" s="560"/>
      <c r="BM239" s="2"/>
      <c r="BN239" s="12"/>
      <c r="BO239" s="585"/>
      <c r="BP239" s="14"/>
      <c r="BQ239" s="15"/>
      <c r="BR239" s="563"/>
      <c r="BS239" s="17"/>
      <c r="BT239" s="14"/>
      <c r="BU239" s="15"/>
      <c r="BV239" s="563"/>
      <c r="BW239" s="17"/>
      <c r="BX239" s="18"/>
      <c r="BY239" s="19"/>
      <c r="BZ239" s="20"/>
      <c r="CA239" s="564"/>
      <c r="CB239" s="21"/>
      <c r="CC239" s="22"/>
      <c r="CD239" s="598"/>
      <c r="CE239" s="599"/>
      <c r="CF239" s="24"/>
      <c r="CG239" s="74"/>
      <c r="CH239" s="74"/>
      <c r="CI239" s="74"/>
      <c r="CJ239" s="74"/>
      <c r="CK239" s="74"/>
      <c r="CL239" s="74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31">
        <v>3</v>
      </c>
      <c r="DB239" s="31">
        <v>3</v>
      </c>
      <c r="DC239" s="31">
        <v>3</v>
      </c>
      <c r="DD239" s="31">
        <v>3</v>
      </c>
      <c r="DE239" s="31">
        <v>3</v>
      </c>
      <c r="DF239" s="31">
        <v>3</v>
      </c>
      <c r="DG239" s="134">
        <v>3</v>
      </c>
      <c r="DI239" s="826"/>
      <c r="DJ239" s="788"/>
    </row>
    <row r="240" spans="1:114" s="783" customFormat="1" ht="11.25" customHeight="1">
      <c r="A240" s="177"/>
      <c r="B240" s="212" t="s">
        <v>39</v>
      </c>
      <c r="C240" s="837" t="s">
        <v>83</v>
      </c>
      <c r="D240" s="31">
        <f>D238/D239/12*1000</f>
        <v>20065.555555555555</v>
      </c>
      <c r="E240" s="31">
        <f>E238/E239/12*1000</f>
        <v>20065.555555555555</v>
      </c>
      <c r="F240" s="31">
        <f>F238/F239/12*1000</f>
        <v>20065.555555555555</v>
      </c>
      <c r="G240" s="31">
        <f>G238/G239/12*1000</f>
        <v>20065.555555555555</v>
      </c>
      <c r="H240" s="31"/>
      <c r="I240" s="31"/>
      <c r="J240" s="31"/>
      <c r="K240" s="31"/>
      <c r="L240" s="105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106"/>
      <c r="Z240" s="105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107"/>
      <c r="AL240" s="105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107"/>
      <c r="AX240" s="108"/>
      <c r="AY240" s="31">
        <f>AY238/AY239/12*1000</f>
        <v>20065.555555555551</v>
      </c>
      <c r="AZ240" s="109"/>
      <c r="BA240" s="62"/>
      <c r="BB240" s="62"/>
      <c r="BC240" s="62"/>
      <c r="BD240" s="62"/>
      <c r="BE240" s="110"/>
      <c r="BF240" s="109"/>
      <c r="BG240" s="62"/>
      <c r="BH240" s="62"/>
      <c r="BI240" s="110"/>
      <c r="BJ240" s="426"/>
      <c r="BK240" s="427"/>
      <c r="BL240" s="560"/>
      <c r="BM240" s="2"/>
      <c r="BN240" s="12"/>
      <c r="BO240" s="585"/>
      <c r="BP240" s="14"/>
      <c r="BQ240" s="15"/>
      <c r="BR240" s="563"/>
      <c r="BS240" s="17"/>
      <c r="BT240" s="14"/>
      <c r="BU240" s="15"/>
      <c r="BV240" s="563"/>
      <c r="BW240" s="17"/>
      <c r="BX240" s="18"/>
      <c r="BY240" s="19"/>
      <c r="BZ240" s="20"/>
      <c r="CA240" s="564"/>
      <c r="CB240" s="21"/>
      <c r="CC240" s="22"/>
      <c r="CD240" s="598"/>
      <c r="CE240" s="599"/>
      <c r="CF240" s="24"/>
      <c r="CG240" s="74"/>
      <c r="CH240" s="74"/>
      <c r="CI240" s="74"/>
      <c r="CJ240" s="74"/>
      <c r="CK240" s="74"/>
      <c r="CL240" s="74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31">
        <f>DA238/DA239/12*1000</f>
        <v>20065.555555555555</v>
      </c>
      <c r="DB240" s="31">
        <f>DB238/DB239/12*1000</f>
        <v>20065.555555555555</v>
      </c>
      <c r="DC240" s="31">
        <f>DC238/DC239/12*1000</f>
        <v>21339.722222222223</v>
      </c>
      <c r="DD240" s="31">
        <f>DD238/DD239/12*1000</f>
        <v>21888.333333333336</v>
      </c>
      <c r="DE240" s="31">
        <f>DE238/DE239/12*1000</f>
        <v>21339.722222222223</v>
      </c>
      <c r="DF240" s="31">
        <f>DF238/DF239/6*1000</f>
        <v>21339.722222222223</v>
      </c>
      <c r="DG240" s="31">
        <f>DG238/DG239/6*1000</f>
        <v>21339.722222222223</v>
      </c>
      <c r="DI240" s="826"/>
      <c r="DJ240" s="788"/>
    </row>
    <row r="241" spans="1:114" s="783" customFormat="1" ht="21.75" customHeight="1">
      <c r="A241" s="177"/>
      <c r="B241" s="187" t="s">
        <v>347</v>
      </c>
      <c r="C241" s="837" t="s">
        <v>54</v>
      </c>
      <c r="D241" s="31">
        <v>146.63999999999999</v>
      </c>
      <c r="E241" s="31">
        <v>146.63999999999999</v>
      </c>
      <c r="F241" s="31">
        <v>146.63999999999999</v>
      </c>
      <c r="G241" s="31">
        <v>146.63999999999999</v>
      </c>
      <c r="H241" s="31"/>
      <c r="I241" s="31"/>
      <c r="J241" s="31"/>
      <c r="K241" s="31"/>
      <c r="L241" s="105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106"/>
      <c r="Z241" s="105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107"/>
      <c r="AL241" s="105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107"/>
      <c r="AX241" s="108"/>
      <c r="AY241" s="31">
        <v>146.63999999999999</v>
      </c>
      <c r="AZ241" s="109"/>
      <c r="BA241" s="62">
        <v>99.5</v>
      </c>
      <c r="BB241" s="62">
        <f>BB238*20.3/100</f>
        <v>0</v>
      </c>
      <c r="BC241" s="62">
        <v>44.44</v>
      </c>
      <c r="BD241" s="62">
        <f>BD238*20.3/100</f>
        <v>0</v>
      </c>
      <c r="BE241" s="110">
        <v>2.7</v>
      </c>
      <c r="BF241" s="109">
        <v>22.38</v>
      </c>
      <c r="BG241" s="62">
        <f>BG238*20.3/100</f>
        <v>6.5975000000000001</v>
      </c>
      <c r="BH241" s="62"/>
      <c r="BI241" s="110"/>
      <c r="BJ241" s="426"/>
      <c r="BK241" s="427"/>
      <c r="BL241" s="560"/>
      <c r="BM241" s="2"/>
      <c r="BN241" s="12"/>
      <c r="BO241" s="585"/>
      <c r="BP241" s="14"/>
      <c r="BQ241" s="15"/>
      <c r="BR241" s="563"/>
      <c r="BS241" s="17"/>
      <c r="BT241" s="14"/>
      <c r="BU241" s="15"/>
      <c r="BV241" s="563"/>
      <c r="BW241" s="17"/>
      <c r="BX241" s="18"/>
      <c r="BY241" s="19"/>
      <c r="BZ241" s="20"/>
      <c r="CA241" s="564"/>
      <c r="CB241" s="21"/>
      <c r="CC241" s="22"/>
      <c r="CD241" s="598"/>
      <c r="CE241" s="599"/>
      <c r="CF241" s="24"/>
      <c r="CG241" s="74"/>
      <c r="CH241" s="74"/>
      <c r="CI241" s="74"/>
      <c r="CJ241" s="74"/>
      <c r="CK241" s="74"/>
      <c r="CL241" s="74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31">
        <f>DA238*20.3/100</f>
        <v>146.63908000000001</v>
      </c>
      <c r="DB241" s="31">
        <f>DB238*20.3/100</f>
        <v>146.63908000000001</v>
      </c>
      <c r="DC241" s="31">
        <f>DC238*30.3/100</f>
        <v>232.77369000000002</v>
      </c>
      <c r="DD241" s="31">
        <v>211.34</v>
      </c>
      <c r="DE241" s="31">
        <f>DE238*30.3/100</f>
        <v>232.77369000000002</v>
      </c>
      <c r="DF241" s="31">
        <f>DF238*20.3/100</f>
        <v>77.975345000000004</v>
      </c>
      <c r="DG241" s="31">
        <f>DG238*20.3/100</f>
        <v>77.975345000000004</v>
      </c>
      <c r="DI241" s="826"/>
      <c r="DJ241" s="788"/>
    </row>
    <row r="242" spans="1:114" s="783" customFormat="1" ht="24" hidden="1">
      <c r="A242" s="165" t="s">
        <v>271</v>
      </c>
      <c r="B242" s="166" t="s">
        <v>240</v>
      </c>
      <c r="C242" s="834" t="s">
        <v>54</v>
      </c>
      <c r="D242" s="108">
        <f>SUM(D243,D246)</f>
        <v>505.5</v>
      </c>
      <c r="E242" s="108">
        <f>SUM(E243,E246)</f>
        <v>367</v>
      </c>
      <c r="F242" s="108">
        <f>SUM(F243,F246)</f>
        <v>367</v>
      </c>
      <c r="G242" s="108">
        <f>SUM(G243,G246)</f>
        <v>367</v>
      </c>
      <c r="H242" s="233"/>
      <c r="I242" s="233"/>
      <c r="J242" s="233"/>
      <c r="K242" s="233"/>
      <c r="L242" s="251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52"/>
      <c r="Z242" s="251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3"/>
      <c r="AK242" s="253"/>
      <c r="AL242" s="251"/>
      <c r="AM242" s="233"/>
      <c r="AN242" s="233"/>
      <c r="AO242" s="233"/>
      <c r="AP242" s="233"/>
      <c r="AQ242" s="233"/>
      <c r="AR242" s="233"/>
      <c r="AS242" s="233"/>
      <c r="AT242" s="233"/>
      <c r="AU242" s="233"/>
      <c r="AV242" s="233"/>
      <c r="AW242" s="253"/>
      <c r="AX242" s="101"/>
      <c r="AY242" s="101">
        <f>SUM(AY243,AY246)</f>
        <v>367</v>
      </c>
      <c r="AZ242" s="238"/>
      <c r="BA242" s="239">
        <f>SUM(BA243:BA246)</f>
        <v>203.48000000000002</v>
      </c>
      <c r="BB242" s="239">
        <f t="shared" ref="BB242:BG242" si="137">SUM(BB243:BB246)</f>
        <v>0</v>
      </c>
      <c r="BC242" s="239">
        <f t="shared" si="137"/>
        <v>131.88</v>
      </c>
      <c r="BD242" s="239">
        <f t="shared" si="137"/>
        <v>0</v>
      </c>
      <c r="BE242" s="240">
        <f t="shared" si="137"/>
        <v>0</v>
      </c>
      <c r="BF242" s="238">
        <f t="shared" si="137"/>
        <v>0</v>
      </c>
      <c r="BG242" s="239">
        <f t="shared" si="137"/>
        <v>0</v>
      </c>
      <c r="BH242" s="239"/>
      <c r="BI242" s="240"/>
      <c r="BJ242" s="417"/>
      <c r="BK242" s="545"/>
      <c r="BL242" s="546"/>
      <c r="BM242" s="254"/>
      <c r="BN242" s="255"/>
      <c r="BO242" s="585"/>
      <c r="BP242" s="586"/>
      <c r="BQ242" s="587"/>
      <c r="BR242" s="588"/>
      <c r="BS242" s="589"/>
      <c r="BT242" s="586"/>
      <c r="BU242" s="587"/>
      <c r="BV242" s="588"/>
      <c r="BW242" s="589"/>
      <c r="BX242" s="590"/>
      <c r="BY242" s="591"/>
      <c r="BZ242" s="592"/>
      <c r="CA242" s="593"/>
      <c r="CB242" s="594"/>
      <c r="CC242" s="250"/>
      <c r="CD242" s="595"/>
      <c r="CE242" s="596"/>
      <c r="CF242" s="597"/>
      <c r="CG242" s="558"/>
      <c r="CH242" s="558"/>
      <c r="CI242" s="558"/>
      <c r="CJ242" s="558"/>
      <c r="CK242" s="558"/>
      <c r="CL242" s="558"/>
      <c r="CM242" s="559"/>
      <c r="CN242" s="559"/>
      <c r="CO242" s="559"/>
      <c r="CP242" s="559"/>
      <c r="CQ242" s="559"/>
      <c r="CR242" s="559"/>
      <c r="CS242" s="559"/>
      <c r="CT242" s="559"/>
      <c r="CU242" s="559"/>
      <c r="CV242" s="559"/>
      <c r="CW242" s="559"/>
      <c r="CX242" s="559"/>
      <c r="CY242" s="559"/>
      <c r="CZ242" s="559"/>
      <c r="DA242" s="101">
        <f>SUM(DA243,DA246)</f>
        <v>366.99599999999998</v>
      </c>
      <c r="DB242" s="101">
        <f>SUM(DB243,DB246)</f>
        <v>366.99599999999998</v>
      </c>
      <c r="DC242" s="108"/>
      <c r="DD242" s="108"/>
      <c r="DE242" s="108"/>
      <c r="DF242" s="108"/>
      <c r="DG242" s="117"/>
      <c r="DI242" s="826"/>
      <c r="DJ242" s="788"/>
    </row>
    <row r="243" spans="1:114" s="783" customFormat="1" hidden="1">
      <c r="A243" s="177"/>
      <c r="B243" s="187" t="s">
        <v>169</v>
      </c>
      <c r="C243" s="837" t="s">
        <v>54</v>
      </c>
      <c r="D243" s="31">
        <v>421.25</v>
      </c>
      <c r="E243" s="31">
        <v>305.83</v>
      </c>
      <c r="F243" s="31">
        <v>305.83</v>
      </c>
      <c r="G243" s="31">
        <v>305.83</v>
      </c>
      <c r="H243" s="78"/>
      <c r="I243" s="78"/>
      <c r="J243" s="78"/>
      <c r="K243" s="78"/>
      <c r="L243" s="111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112"/>
      <c r="Z243" s="111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113"/>
      <c r="AL243" s="111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113"/>
      <c r="AX243" s="101"/>
      <c r="AY243" s="31">
        <v>305.83</v>
      </c>
      <c r="AZ243" s="102"/>
      <c r="BA243" s="103">
        <v>162.93</v>
      </c>
      <c r="BB243" s="103"/>
      <c r="BC243" s="103">
        <v>116.54</v>
      </c>
      <c r="BD243" s="103"/>
      <c r="BE243" s="104"/>
      <c r="BF243" s="102"/>
      <c r="BG243" s="103"/>
      <c r="BH243" s="103"/>
      <c r="BI243" s="104"/>
      <c r="BJ243" s="417"/>
      <c r="BK243" s="418"/>
      <c r="BL243" s="36"/>
      <c r="BM243" s="2"/>
      <c r="BN243" s="12"/>
      <c r="BO243" s="585"/>
      <c r="BP243" s="14"/>
      <c r="BQ243" s="15"/>
      <c r="BR243" s="563"/>
      <c r="BS243" s="17"/>
      <c r="BT243" s="14"/>
      <c r="BU243" s="15"/>
      <c r="BV243" s="563"/>
      <c r="BW243" s="17"/>
      <c r="BX243" s="18"/>
      <c r="BY243" s="19"/>
      <c r="BZ243" s="20"/>
      <c r="CA243" s="564"/>
      <c r="CB243" s="21"/>
      <c r="CC243" s="22"/>
      <c r="CD243" s="598"/>
      <c r="CE243" s="599"/>
      <c r="CF243" s="24"/>
      <c r="CG243" s="74"/>
      <c r="CH243" s="74"/>
      <c r="CI243" s="74"/>
      <c r="CJ243" s="74"/>
      <c r="CK243" s="74"/>
      <c r="CL243" s="74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31">
        <v>305.83</v>
      </c>
      <c r="DB243" s="31">
        <v>305.83</v>
      </c>
      <c r="DC243" s="31">
        <v>305.83</v>
      </c>
      <c r="DD243" s="31">
        <v>322.82</v>
      </c>
      <c r="DE243" s="31">
        <v>305.83</v>
      </c>
      <c r="DF243" s="108">
        <f>DE243/2</f>
        <v>152.91499999999999</v>
      </c>
      <c r="DG243" s="134">
        <f>DF243</f>
        <v>152.91499999999999</v>
      </c>
      <c r="DI243" s="826"/>
      <c r="DJ243" s="788"/>
    </row>
    <row r="244" spans="1:114" s="783" customFormat="1" hidden="1">
      <c r="A244" s="177"/>
      <c r="B244" s="212" t="s">
        <v>38</v>
      </c>
      <c r="C244" s="837" t="s">
        <v>54</v>
      </c>
      <c r="D244" s="31"/>
      <c r="E244" s="31"/>
      <c r="F244" s="31"/>
      <c r="G244" s="31"/>
      <c r="H244" s="78"/>
      <c r="I244" s="78"/>
      <c r="J244" s="78"/>
      <c r="K244" s="78"/>
      <c r="L244" s="111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112"/>
      <c r="Z244" s="111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113"/>
      <c r="AL244" s="111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113"/>
      <c r="AX244" s="101"/>
      <c r="AY244" s="33"/>
      <c r="AZ244" s="102"/>
      <c r="BA244" s="103"/>
      <c r="BB244" s="103"/>
      <c r="BC244" s="103"/>
      <c r="BD244" s="103"/>
      <c r="BE244" s="104"/>
      <c r="BF244" s="102"/>
      <c r="BG244" s="103"/>
      <c r="BH244" s="103"/>
      <c r="BI244" s="104"/>
      <c r="BJ244" s="417"/>
      <c r="BK244" s="418"/>
      <c r="BL244" s="36"/>
      <c r="BM244" s="2"/>
      <c r="BN244" s="12"/>
      <c r="BO244" s="585"/>
      <c r="BP244" s="14"/>
      <c r="BQ244" s="15"/>
      <c r="BR244" s="563"/>
      <c r="BS244" s="17"/>
      <c r="BT244" s="14"/>
      <c r="BU244" s="15"/>
      <c r="BV244" s="563"/>
      <c r="BW244" s="17"/>
      <c r="BX244" s="18"/>
      <c r="BY244" s="19"/>
      <c r="BZ244" s="20"/>
      <c r="CA244" s="564"/>
      <c r="CB244" s="21"/>
      <c r="CC244" s="22"/>
      <c r="CD244" s="598"/>
      <c r="CE244" s="599"/>
      <c r="CF244" s="24"/>
      <c r="CG244" s="74"/>
      <c r="CH244" s="74"/>
      <c r="CI244" s="74"/>
      <c r="CJ244" s="74"/>
      <c r="CK244" s="74"/>
      <c r="CL244" s="74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33"/>
      <c r="DB244" s="33"/>
      <c r="DC244" s="31"/>
      <c r="DD244" s="31"/>
      <c r="DE244" s="31"/>
      <c r="DF244" s="31"/>
      <c r="DG244" s="134"/>
      <c r="DI244" s="826"/>
      <c r="DJ244" s="788"/>
    </row>
    <row r="245" spans="1:114" s="783" customFormat="1" hidden="1">
      <c r="A245" s="177"/>
      <c r="B245" s="212" t="s">
        <v>39</v>
      </c>
      <c r="C245" s="837" t="s">
        <v>54</v>
      </c>
      <c r="D245" s="31"/>
      <c r="E245" s="31"/>
      <c r="F245" s="31"/>
      <c r="G245" s="31"/>
      <c r="H245" s="78"/>
      <c r="I245" s="78"/>
      <c r="J245" s="78"/>
      <c r="K245" s="78"/>
      <c r="L245" s="111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112"/>
      <c r="Z245" s="111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113"/>
      <c r="AL245" s="111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113"/>
      <c r="AX245" s="101"/>
      <c r="AY245" s="33"/>
      <c r="AZ245" s="102"/>
      <c r="BA245" s="103"/>
      <c r="BB245" s="103"/>
      <c r="BC245" s="103"/>
      <c r="BD245" s="103"/>
      <c r="BE245" s="104"/>
      <c r="BF245" s="102"/>
      <c r="BG245" s="103"/>
      <c r="BH245" s="103"/>
      <c r="BI245" s="104"/>
      <c r="BJ245" s="417"/>
      <c r="BK245" s="418"/>
      <c r="BL245" s="36"/>
      <c r="BM245" s="2"/>
      <c r="BN245" s="12"/>
      <c r="BO245" s="585"/>
      <c r="BP245" s="14"/>
      <c r="BQ245" s="15"/>
      <c r="BR245" s="563"/>
      <c r="BS245" s="17"/>
      <c r="BT245" s="14"/>
      <c r="BU245" s="15"/>
      <c r="BV245" s="563"/>
      <c r="BW245" s="17"/>
      <c r="BX245" s="18"/>
      <c r="BY245" s="19"/>
      <c r="BZ245" s="20"/>
      <c r="CA245" s="564"/>
      <c r="CB245" s="21"/>
      <c r="CC245" s="22"/>
      <c r="CD245" s="598"/>
      <c r="CE245" s="599"/>
      <c r="CF245" s="24"/>
      <c r="CG245" s="74"/>
      <c r="CH245" s="74"/>
      <c r="CI245" s="74"/>
      <c r="CJ245" s="74"/>
      <c r="CK245" s="74"/>
      <c r="CL245" s="74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33"/>
      <c r="DB245" s="33"/>
      <c r="DC245" s="31"/>
      <c r="DD245" s="31"/>
      <c r="DE245" s="31"/>
      <c r="DF245" s="31"/>
      <c r="DG245" s="134"/>
      <c r="DI245" s="826"/>
      <c r="DJ245" s="788"/>
    </row>
    <row r="246" spans="1:114" s="783" customFormat="1" hidden="1">
      <c r="A246" s="177"/>
      <c r="B246" s="187" t="s">
        <v>170</v>
      </c>
      <c r="C246" s="837" t="s">
        <v>54</v>
      </c>
      <c r="D246" s="31">
        <v>84.25</v>
      </c>
      <c r="E246" s="31">
        <v>61.17</v>
      </c>
      <c r="F246" s="31">
        <v>61.17</v>
      </c>
      <c r="G246" s="31">
        <v>61.17</v>
      </c>
      <c r="H246" s="78"/>
      <c r="I246" s="78"/>
      <c r="J246" s="78"/>
      <c r="K246" s="78"/>
      <c r="L246" s="111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112"/>
      <c r="Z246" s="111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113"/>
      <c r="AL246" s="111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113"/>
      <c r="AX246" s="101"/>
      <c r="AY246" s="31">
        <v>61.17</v>
      </c>
      <c r="AZ246" s="102"/>
      <c r="BA246" s="103">
        <v>40.549999999999997</v>
      </c>
      <c r="BB246" s="103"/>
      <c r="BC246" s="103">
        <v>15.34</v>
      </c>
      <c r="BD246" s="103"/>
      <c r="BE246" s="104"/>
      <c r="BF246" s="102"/>
      <c r="BG246" s="103"/>
      <c r="BH246" s="103"/>
      <c r="BI246" s="104"/>
      <c r="BJ246" s="417"/>
      <c r="BK246" s="418"/>
      <c r="BL246" s="36"/>
      <c r="BM246" s="2"/>
      <c r="BN246" s="12"/>
      <c r="BO246" s="585"/>
      <c r="BP246" s="14"/>
      <c r="BQ246" s="15"/>
      <c r="BR246" s="563"/>
      <c r="BS246" s="17"/>
      <c r="BT246" s="14"/>
      <c r="BU246" s="15"/>
      <c r="BV246" s="563"/>
      <c r="BW246" s="17"/>
      <c r="BX246" s="18"/>
      <c r="BY246" s="19"/>
      <c r="BZ246" s="20"/>
      <c r="CA246" s="564"/>
      <c r="CB246" s="21"/>
      <c r="CC246" s="22"/>
      <c r="CD246" s="598"/>
      <c r="CE246" s="599"/>
      <c r="CF246" s="24"/>
      <c r="CG246" s="74"/>
      <c r="CH246" s="74"/>
      <c r="CI246" s="74"/>
      <c r="CJ246" s="74"/>
      <c r="CK246" s="74"/>
      <c r="CL246" s="74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31">
        <f>DA243*20/100</f>
        <v>61.165999999999997</v>
      </c>
      <c r="DB246" s="31">
        <f>DB243*20/100</f>
        <v>61.165999999999997</v>
      </c>
      <c r="DC246" s="31">
        <v>61.17</v>
      </c>
      <c r="DD246" s="31">
        <v>64.569999999999993</v>
      </c>
      <c r="DE246" s="31">
        <v>61.17</v>
      </c>
      <c r="DF246" s="108">
        <f t="shared" ref="DF246:DF256" si="138">DE246/2</f>
        <v>30.585000000000001</v>
      </c>
      <c r="DG246" s="134">
        <f>DF246</f>
        <v>30.585000000000001</v>
      </c>
      <c r="DI246" s="826"/>
      <c r="DJ246" s="788"/>
    </row>
    <row r="247" spans="1:114" s="783" customFormat="1" hidden="1">
      <c r="A247" s="232" t="s">
        <v>272</v>
      </c>
      <c r="B247" s="166" t="s">
        <v>96</v>
      </c>
      <c r="C247" s="834" t="s">
        <v>54</v>
      </c>
      <c r="D247" s="108">
        <f>SUM(D248:D250)</f>
        <v>337.04</v>
      </c>
      <c r="E247" s="108">
        <f>SUM(E248:E250)</f>
        <v>364.58</v>
      </c>
      <c r="F247" s="108">
        <f>SUM(F248:F250)</f>
        <v>364.58</v>
      </c>
      <c r="G247" s="108">
        <f>SUM(G248:G250)</f>
        <v>364.58</v>
      </c>
      <c r="H247" s="234" t="e">
        <f t="shared" ref="H247:U247" si="139">H248+H251</f>
        <v>#REF!</v>
      </c>
      <c r="I247" s="234" t="e">
        <f t="shared" si="139"/>
        <v>#REF!</v>
      </c>
      <c r="J247" s="234" t="e">
        <f t="shared" si="139"/>
        <v>#REF!</v>
      </c>
      <c r="K247" s="234" t="e">
        <f t="shared" si="139"/>
        <v>#REF!</v>
      </c>
      <c r="L247" s="235" t="e">
        <f t="shared" si="139"/>
        <v>#REF!</v>
      </c>
      <c r="M247" s="235" t="e">
        <f t="shared" si="139"/>
        <v>#REF!</v>
      </c>
      <c r="N247" s="235" t="e">
        <f t="shared" si="139"/>
        <v>#REF!</v>
      </c>
      <c r="O247" s="235" t="e">
        <f t="shared" si="139"/>
        <v>#REF!</v>
      </c>
      <c r="P247" s="235"/>
      <c r="Q247" s="235"/>
      <c r="R247" s="235">
        <v>136.47999999999999</v>
      </c>
      <c r="S247" s="235" t="e">
        <f t="shared" si="139"/>
        <v>#REF!</v>
      </c>
      <c r="T247" s="235" t="e">
        <f t="shared" si="139"/>
        <v>#REF!</v>
      </c>
      <c r="U247" s="235" t="e">
        <f t="shared" si="139"/>
        <v>#REF!</v>
      </c>
      <c r="V247" s="235"/>
      <c r="W247" s="235"/>
      <c r="X247" s="235" t="e">
        <f>O247-N247</f>
        <v>#REF!</v>
      </c>
      <c r="Y247" s="236" t="e">
        <f>O247/N247</f>
        <v>#REF!</v>
      </c>
      <c r="Z247" s="235" t="e">
        <f t="shared" ref="Z247:AG247" si="140">Z248+Z251</f>
        <v>#REF!</v>
      </c>
      <c r="AA247" s="235" t="e">
        <f t="shared" si="140"/>
        <v>#REF!</v>
      </c>
      <c r="AB247" s="235" t="e">
        <f t="shared" si="140"/>
        <v>#REF!</v>
      </c>
      <c r="AC247" s="235" t="e">
        <f t="shared" si="140"/>
        <v>#REF!</v>
      </c>
      <c r="AD247" s="235" t="e">
        <f t="shared" si="140"/>
        <v>#REF!</v>
      </c>
      <c r="AE247" s="235" t="e">
        <f t="shared" si="140"/>
        <v>#REF!</v>
      </c>
      <c r="AF247" s="235" t="e">
        <f t="shared" si="140"/>
        <v>#REF!</v>
      </c>
      <c r="AG247" s="235" t="e">
        <f t="shared" si="140"/>
        <v>#REF!</v>
      </c>
      <c r="AH247" s="235"/>
      <c r="AI247" s="235"/>
      <c r="AJ247" s="235" t="e">
        <f>AC247-AB247</f>
        <v>#REF!</v>
      </c>
      <c r="AK247" s="237" t="e">
        <f>AC247/AB247</f>
        <v>#REF!</v>
      </c>
      <c r="AL247" s="235" t="e">
        <f t="shared" ref="AL247:AS247" si="141">AL248+AL251</f>
        <v>#REF!</v>
      </c>
      <c r="AM247" s="235" t="e">
        <f t="shared" si="141"/>
        <v>#REF!</v>
      </c>
      <c r="AN247" s="235" t="e">
        <f t="shared" si="141"/>
        <v>#REF!</v>
      </c>
      <c r="AO247" s="235" t="e">
        <f t="shared" si="141"/>
        <v>#REF!</v>
      </c>
      <c r="AP247" s="235" t="e">
        <f t="shared" si="141"/>
        <v>#REF!</v>
      </c>
      <c r="AQ247" s="235" t="e">
        <f t="shared" si="141"/>
        <v>#REF!</v>
      </c>
      <c r="AR247" s="235" t="e">
        <f t="shared" si="141"/>
        <v>#REF!</v>
      </c>
      <c r="AS247" s="235" t="e">
        <f t="shared" si="141"/>
        <v>#REF!</v>
      </c>
      <c r="AT247" s="235"/>
      <c r="AU247" s="235"/>
      <c r="AV247" s="235" t="e">
        <f>AO247-AN247</f>
        <v>#REF!</v>
      </c>
      <c r="AW247" s="237" t="e">
        <f>AO247/AN247</f>
        <v>#REF!</v>
      </c>
      <c r="AX247" s="101">
        <f>G247/2</f>
        <v>182.29</v>
      </c>
      <c r="AY247" s="101">
        <f>SUM(AY248:AY250)</f>
        <v>382.75</v>
      </c>
      <c r="AZ247" s="238" t="e">
        <f>AZ248+AZ251</f>
        <v>#REF!</v>
      </c>
      <c r="BA247" s="239">
        <f>SUM(BA248:BA250)</f>
        <v>231.66</v>
      </c>
      <c r="BB247" s="239">
        <f t="shared" ref="BB247:BG247" si="142">SUM(BB248:BB250)</f>
        <v>0</v>
      </c>
      <c r="BC247" s="239">
        <f t="shared" si="142"/>
        <v>75.7</v>
      </c>
      <c r="BD247" s="239">
        <f t="shared" si="142"/>
        <v>0</v>
      </c>
      <c r="BE247" s="240">
        <f t="shared" si="142"/>
        <v>20.34</v>
      </c>
      <c r="BF247" s="238">
        <f t="shared" si="142"/>
        <v>16.25</v>
      </c>
      <c r="BG247" s="239">
        <f t="shared" si="142"/>
        <v>0</v>
      </c>
      <c r="BH247" s="239"/>
      <c r="BI247" s="240"/>
      <c r="BJ247" s="417" t="e">
        <f>BA247-AZ247</f>
        <v>#REF!</v>
      </c>
      <c r="BK247" s="545" t="e">
        <f>BA247/AZ247</f>
        <v>#REF!</v>
      </c>
      <c r="BL247" s="546"/>
      <c r="BM247" s="238" t="e">
        <f>BM248+BM251</f>
        <v>#REF!</v>
      </c>
      <c r="BN247" s="239"/>
      <c r="BO247" s="455"/>
      <c r="BP247" s="547"/>
      <c r="BQ247" s="548"/>
      <c r="BR247" s="549"/>
      <c r="BS247" s="550"/>
      <c r="BT247" s="547"/>
      <c r="BU247" s="548"/>
      <c r="BV247" s="549"/>
      <c r="BW247" s="550"/>
      <c r="BX247" s="551">
        <f>BX248</f>
        <v>0</v>
      </c>
      <c r="BY247" s="552">
        <f>F247</f>
        <v>364.58</v>
      </c>
      <c r="BZ247" s="553" t="e">
        <f>M247+BM247+BQ247+BU247</f>
        <v>#REF!</v>
      </c>
      <c r="CA247" s="548" t="e">
        <f>BZ247-BY247</f>
        <v>#REF!</v>
      </c>
      <c r="CB247" s="554" t="e">
        <f>BZ247/BY247</f>
        <v>#REF!</v>
      </c>
      <c r="CC247" s="309" t="e">
        <f>BZ247-E247</f>
        <v>#REF!</v>
      </c>
      <c r="CD247" s="555" t="e">
        <f>CD248+CD251</f>
        <v>#REF!</v>
      </c>
      <c r="CE247" s="556" t="e">
        <f>CE248+CE251</f>
        <v>#REF!</v>
      </c>
      <c r="CF247" s="557"/>
      <c r="CG247" s="558"/>
      <c r="CH247" s="558"/>
      <c r="CI247" s="558"/>
      <c r="CJ247" s="558"/>
      <c r="CK247" s="558"/>
      <c r="CL247" s="558"/>
      <c r="CM247" s="559"/>
      <c r="CN247" s="559"/>
      <c r="CO247" s="559"/>
      <c r="CP247" s="559"/>
      <c r="CQ247" s="559"/>
      <c r="CR247" s="559"/>
      <c r="CS247" s="559"/>
      <c r="CT247" s="559"/>
      <c r="CU247" s="559"/>
      <c r="CV247" s="559"/>
      <c r="CW247" s="559"/>
      <c r="CX247" s="559"/>
      <c r="CY247" s="559"/>
      <c r="CZ247" s="559"/>
      <c r="DA247" s="101"/>
      <c r="DB247" s="101">
        <f>SUM(DB248:DB250)</f>
        <v>364.58</v>
      </c>
      <c r="DC247" s="108"/>
      <c r="DD247" s="108"/>
      <c r="DE247" s="108"/>
      <c r="DF247" s="108">
        <f t="shared" si="138"/>
        <v>0</v>
      </c>
      <c r="DG247" s="117"/>
      <c r="DI247" s="826"/>
      <c r="DJ247" s="788"/>
    </row>
    <row r="248" spans="1:114" s="783" customFormat="1" hidden="1">
      <c r="A248" s="177"/>
      <c r="B248" s="187" t="s">
        <v>30</v>
      </c>
      <c r="C248" s="837" t="s">
        <v>54</v>
      </c>
      <c r="D248" s="31">
        <v>12.76</v>
      </c>
      <c r="E248" s="31">
        <v>17.329999999999998</v>
      </c>
      <c r="F248" s="31">
        <v>17.329999999999998</v>
      </c>
      <c r="G248" s="31">
        <v>17.329999999999998</v>
      </c>
      <c r="H248" s="31"/>
      <c r="I248" s="31"/>
      <c r="J248" s="31"/>
      <c r="K248" s="31"/>
      <c r="L248" s="105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106"/>
      <c r="Z248" s="105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107"/>
      <c r="AL248" s="105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107"/>
      <c r="AX248" s="108"/>
      <c r="AY248" s="31">
        <v>17.329999999999998</v>
      </c>
      <c r="AZ248" s="109"/>
      <c r="BA248" s="62">
        <v>7.24</v>
      </c>
      <c r="BB248" s="62"/>
      <c r="BC248" s="62">
        <v>7.08</v>
      </c>
      <c r="BD248" s="62"/>
      <c r="BE248" s="110">
        <v>0.61</v>
      </c>
      <c r="BF248" s="109">
        <v>1.42</v>
      </c>
      <c r="BG248" s="62"/>
      <c r="BH248" s="62"/>
      <c r="BI248" s="110"/>
      <c r="BJ248" s="426"/>
      <c r="BK248" s="427"/>
      <c r="BL248" s="560"/>
      <c r="BM248" s="2"/>
      <c r="BN248" s="12"/>
      <c r="BO248" s="585"/>
      <c r="BP248" s="14"/>
      <c r="BQ248" s="15"/>
      <c r="BR248" s="563"/>
      <c r="BS248" s="17"/>
      <c r="BT248" s="14"/>
      <c r="BU248" s="15"/>
      <c r="BV248" s="563"/>
      <c r="BW248" s="17"/>
      <c r="BX248" s="18"/>
      <c r="BY248" s="19"/>
      <c r="BZ248" s="20"/>
      <c r="CA248" s="564"/>
      <c r="CB248" s="21"/>
      <c r="CC248" s="22"/>
      <c r="CD248" s="598"/>
      <c r="CE248" s="599"/>
      <c r="CF248" s="24"/>
      <c r="CG248" s="74"/>
      <c r="CH248" s="74"/>
      <c r="CI248" s="74"/>
      <c r="CJ248" s="74"/>
      <c r="CK248" s="74"/>
      <c r="CL248" s="74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31">
        <v>17.329999999999998</v>
      </c>
      <c r="DB248" s="31">
        <v>17.329999999999998</v>
      </c>
      <c r="DC248" s="766">
        <v>34.090000000000003</v>
      </c>
      <c r="DD248" s="31">
        <v>29.64</v>
      </c>
      <c r="DE248" s="766">
        <v>34.090000000000003</v>
      </c>
      <c r="DF248" s="108">
        <f t="shared" si="138"/>
        <v>17.045000000000002</v>
      </c>
      <c r="DG248" s="134">
        <f>DF248</f>
        <v>17.045000000000002</v>
      </c>
      <c r="DH248" s="835"/>
      <c r="DI248" s="826"/>
      <c r="DJ248" s="788"/>
    </row>
    <row r="249" spans="1:114" s="783" customFormat="1" hidden="1">
      <c r="A249" s="177"/>
      <c r="B249" s="187" t="s">
        <v>24</v>
      </c>
      <c r="C249" s="837" t="s">
        <v>54</v>
      </c>
      <c r="D249" s="31">
        <v>81.37</v>
      </c>
      <c r="E249" s="31">
        <v>76.599999999999994</v>
      </c>
      <c r="F249" s="31">
        <v>76.599999999999994</v>
      </c>
      <c r="G249" s="31">
        <v>76.599999999999994</v>
      </c>
      <c r="H249" s="31"/>
      <c r="I249" s="31"/>
      <c r="J249" s="31"/>
      <c r="K249" s="31"/>
      <c r="L249" s="105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106"/>
      <c r="Z249" s="105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107"/>
      <c r="AL249" s="105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107"/>
      <c r="AX249" s="108"/>
      <c r="AY249" s="31">
        <v>71.37</v>
      </c>
      <c r="AZ249" s="109"/>
      <c r="BA249" s="62">
        <v>49.14</v>
      </c>
      <c r="BB249" s="62"/>
      <c r="BC249" s="62">
        <v>15.31</v>
      </c>
      <c r="BD249" s="62"/>
      <c r="BE249" s="110">
        <v>5.41</v>
      </c>
      <c r="BF249" s="109">
        <v>2.41</v>
      </c>
      <c r="BG249" s="62"/>
      <c r="BH249" s="62"/>
      <c r="BI249" s="110"/>
      <c r="BJ249" s="426"/>
      <c r="BK249" s="427"/>
      <c r="BL249" s="560"/>
      <c r="BM249" s="2"/>
      <c r="BN249" s="12"/>
      <c r="BO249" s="585"/>
      <c r="BP249" s="14"/>
      <c r="BQ249" s="15"/>
      <c r="BR249" s="563"/>
      <c r="BS249" s="17"/>
      <c r="BT249" s="14"/>
      <c r="BU249" s="15"/>
      <c r="BV249" s="563"/>
      <c r="BW249" s="17"/>
      <c r="BX249" s="18"/>
      <c r="BY249" s="19"/>
      <c r="BZ249" s="20"/>
      <c r="CA249" s="564"/>
      <c r="CB249" s="21"/>
      <c r="CC249" s="22"/>
      <c r="CD249" s="598"/>
      <c r="CE249" s="599"/>
      <c r="CF249" s="24"/>
      <c r="CG249" s="74"/>
      <c r="CH249" s="74"/>
      <c r="CI249" s="74"/>
      <c r="CJ249" s="74"/>
      <c r="CK249" s="74"/>
      <c r="CL249" s="74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31">
        <v>76.599999999999994</v>
      </c>
      <c r="DB249" s="31">
        <v>76.599999999999994</v>
      </c>
      <c r="DC249" s="766">
        <v>88.09</v>
      </c>
      <c r="DD249" s="31">
        <v>71.510000000000005</v>
      </c>
      <c r="DE249" s="766">
        <v>88.09</v>
      </c>
      <c r="DF249" s="108">
        <f t="shared" si="138"/>
        <v>44.045000000000002</v>
      </c>
      <c r="DG249" s="134">
        <f t="shared" ref="DG249:DG256" si="143">DF249</f>
        <v>44.045000000000002</v>
      </c>
      <c r="DH249" s="835"/>
      <c r="DI249" s="826"/>
      <c r="DJ249" s="788"/>
    </row>
    <row r="250" spans="1:114" s="783" customFormat="1" hidden="1">
      <c r="A250" s="177"/>
      <c r="B250" s="187" t="s">
        <v>95</v>
      </c>
      <c r="C250" s="837" t="s">
        <v>54</v>
      </c>
      <c r="D250" s="31">
        <v>242.91</v>
      </c>
      <c r="E250" s="31">
        <v>270.64999999999998</v>
      </c>
      <c r="F250" s="31">
        <v>270.64999999999998</v>
      </c>
      <c r="G250" s="31">
        <v>270.64999999999998</v>
      </c>
      <c r="H250" s="31"/>
      <c r="I250" s="31"/>
      <c r="J250" s="31"/>
      <c r="K250" s="31"/>
      <c r="L250" s="105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106"/>
      <c r="Z250" s="105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107"/>
      <c r="AL250" s="105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107"/>
      <c r="AX250" s="108"/>
      <c r="AY250" s="31">
        <v>294.05</v>
      </c>
      <c r="AZ250" s="109"/>
      <c r="BA250" s="62">
        <v>175.28</v>
      </c>
      <c r="BB250" s="62"/>
      <c r="BC250" s="62">
        <v>53.31</v>
      </c>
      <c r="BD250" s="62"/>
      <c r="BE250" s="110">
        <v>14.32</v>
      </c>
      <c r="BF250" s="109">
        <v>12.42</v>
      </c>
      <c r="BG250" s="62"/>
      <c r="BH250" s="62"/>
      <c r="BI250" s="110"/>
      <c r="BJ250" s="426"/>
      <c r="BK250" s="427"/>
      <c r="BL250" s="560"/>
      <c r="BM250" s="2"/>
      <c r="BN250" s="12"/>
      <c r="BO250" s="585"/>
      <c r="BP250" s="14"/>
      <c r="BQ250" s="15"/>
      <c r="BR250" s="563"/>
      <c r="BS250" s="17"/>
      <c r="BT250" s="14"/>
      <c r="BU250" s="15"/>
      <c r="BV250" s="563"/>
      <c r="BW250" s="17"/>
      <c r="BX250" s="18"/>
      <c r="BY250" s="19"/>
      <c r="BZ250" s="20"/>
      <c r="CA250" s="564"/>
      <c r="CB250" s="21"/>
      <c r="CC250" s="22"/>
      <c r="CD250" s="598"/>
      <c r="CE250" s="599"/>
      <c r="CF250" s="24"/>
      <c r="CG250" s="74"/>
      <c r="CH250" s="74"/>
      <c r="CI250" s="74"/>
      <c r="CJ250" s="74"/>
      <c r="CK250" s="74"/>
      <c r="CL250" s="74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31">
        <v>270.64999999999998</v>
      </c>
      <c r="DB250" s="31">
        <v>270.64999999999998</v>
      </c>
      <c r="DC250" s="766">
        <v>346.68</v>
      </c>
      <c r="DD250" s="31">
        <v>324</v>
      </c>
      <c r="DE250" s="766">
        <v>346.68</v>
      </c>
      <c r="DF250" s="108">
        <f t="shared" si="138"/>
        <v>173.34</v>
      </c>
      <c r="DG250" s="134">
        <f t="shared" si="143"/>
        <v>173.34</v>
      </c>
      <c r="DH250" s="835"/>
      <c r="DI250" s="826"/>
      <c r="DJ250" s="788"/>
    </row>
    <row r="251" spans="1:114" s="783" customFormat="1" hidden="1">
      <c r="A251" s="232" t="s">
        <v>273</v>
      </c>
      <c r="B251" s="166" t="s">
        <v>28</v>
      </c>
      <c r="C251" s="834" t="s">
        <v>54</v>
      </c>
      <c r="D251" s="108">
        <f>SUM(D252:D256)</f>
        <v>74.42</v>
      </c>
      <c r="E251" s="108">
        <f>SUM(E252:E256)</f>
        <v>42</v>
      </c>
      <c r="F251" s="108">
        <f>SUM(F252:F256)</f>
        <v>42</v>
      </c>
      <c r="G251" s="108">
        <f>SUM(G252:G256)</f>
        <v>42</v>
      </c>
      <c r="H251" s="234" t="e">
        <f t="shared" ref="H251:U251" si="144">H252+H257</f>
        <v>#REF!</v>
      </c>
      <c r="I251" s="234" t="e">
        <f t="shared" si="144"/>
        <v>#REF!</v>
      </c>
      <c r="J251" s="234" t="e">
        <f t="shared" si="144"/>
        <v>#REF!</v>
      </c>
      <c r="K251" s="234" t="e">
        <f t="shared" si="144"/>
        <v>#REF!</v>
      </c>
      <c r="L251" s="235" t="e">
        <f t="shared" si="144"/>
        <v>#REF!</v>
      </c>
      <c r="M251" s="235" t="e">
        <f t="shared" si="144"/>
        <v>#REF!</v>
      </c>
      <c r="N251" s="235" t="e">
        <f t="shared" si="144"/>
        <v>#REF!</v>
      </c>
      <c r="O251" s="235" t="e">
        <f t="shared" si="144"/>
        <v>#REF!</v>
      </c>
      <c r="P251" s="235"/>
      <c r="Q251" s="235"/>
      <c r="R251" s="235">
        <v>136.47999999999999</v>
      </c>
      <c r="S251" s="235" t="e">
        <f t="shared" si="144"/>
        <v>#REF!</v>
      </c>
      <c r="T251" s="235" t="e">
        <f t="shared" si="144"/>
        <v>#REF!</v>
      </c>
      <c r="U251" s="235" t="e">
        <f t="shared" si="144"/>
        <v>#REF!</v>
      </c>
      <c r="V251" s="235"/>
      <c r="W251" s="235"/>
      <c r="X251" s="235" t="e">
        <f>O251-N251</f>
        <v>#REF!</v>
      </c>
      <c r="Y251" s="236" t="e">
        <f>O251/N251</f>
        <v>#REF!</v>
      </c>
      <c r="Z251" s="235" t="e">
        <f t="shared" ref="Z251:AG251" si="145">Z252+Z257</f>
        <v>#REF!</v>
      </c>
      <c r="AA251" s="235" t="e">
        <f t="shared" si="145"/>
        <v>#REF!</v>
      </c>
      <c r="AB251" s="235" t="e">
        <f t="shared" si="145"/>
        <v>#REF!</v>
      </c>
      <c r="AC251" s="235" t="e">
        <f t="shared" si="145"/>
        <v>#REF!</v>
      </c>
      <c r="AD251" s="235" t="e">
        <f t="shared" si="145"/>
        <v>#REF!</v>
      </c>
      <c r="AE251" s="235" t="e">
        <f t="shared" si="145"/>
        <v>#REF!</v>
      </c>
      <c r="AF251" s="235" t="e">
        <f t="shared" si="145"/>
        <v>#REF!</v>
      </c>
      <c r="AG251" s="235" t="e">
        <f t="shared" si="145"/>
        <v>#REF!</v>
      </c>
      <c r="AH251" s="235"/>
      <c r="AI251" s="235"/>
      <c r="AJ251" s="235" t="e">
        <f>AC251-AB251</f>
        <v>#REF!</v>
      </c>
      <c r="AK251" s="237" t="e">
        <f>AC251/AB251</f>
        <v>#REF!</v>
      </c>
      <c r="AL251" s="235" t="e">
        <f t="shared" ref="AL251:AS251" si="146">AL252+AL257</f>
        <v>#REF!</v>
      </c>
      <c r="AM251" s="235" t="e">
        <f t="shared" si="146"/>
        <v>#REF!</v>
      </c>
      <c r="AN251" s="235" t="e">
        <f t="shared" si="146"/>
        <v>#REF!</v>
      </c>
      <c r="AO251" s="235" t="e">
        <f t="shared" si="146"/>
        <v>#REF!</v>
      </c>
      <c r="AP251" s="235" t="e">
        <f t="shared" si="146"/>
        <v>#REF!</v>
      </c>
      <c r="AQ251" s="235" t="e">
        <f t="shared" si="146"/>
        <v>#REF!</v>
      </c>
      <c r="AR251" s="235" t="e">
        <f t="shared" si="146"/>
        <v>#REF!</v>
      </c>
      <c r="AS251" s="235" t="e">
        <f t="shared" si="146"/>
        <v>#REF!</v>
      </c>
      <c r="AT251" s="235"/>
      <c r="AU251" s="235"/>
      <c r="AV251" s="235" t="e">
        <f>AO251-AN251</f>
        <v>#REF!</v>
      </c>
      <c r="AW251" s="237" t="e">
        <f>AO251/AN251</f>
        <v>#REF!</v>
      </c>
      <c r="AX251" s="101">
        <f>G251/2</f>
        <v>21</v>
      </c>
      <c r="AY251" s="101">
        <f>SUM(AY252:AY256)</f>
        <v>38.43</v>
      </c>
      <c r="AZ251" s="238" t="e">
        <f>AZ252+AZ257</f>
        <v>#REF!</v>
      </c>
      <c r="BA251" s="239">
        <f>SUM(BA252:BA256)</f>
        <v>30.71</v>
      </c>
      <c r="BB251" s="239">
        <f t="shared" ref="BB251:BG251" si="147">SUM(BB252:BB256)</f>
        <v>0</v>
      </c>
      <c r="BC251" s="239">
        <f t="shared" si="147"/>
        <v>9.1999999999999993</v>
      </c>
      <c r="BD251" s="239">
        <f t="shared" si="147"/>
        <v>0</v>
      </c>
      <c r="BE251" s="240">
        <f t="shared" si="147"/>
        <v>0.75</v>
      </c>
      <c r="BF251" s="238">
        <f t="shared" si="147"/>
        <v>0.28999999999999998</v>
      </c>
      <c r="BG251" s="239">
        <f t="shared" si="147"/>
        <v>0</v>
      </c>
      <c r="BH251" s="239"/>
      <c r="BI251" s="240"/>
      <c r="BJ251" s="417" t="e">
        <f>BA251-AZ251</f>
        <v>#REF!</v>
      </c>
      <c r="BK251" s="545" t="e">
        <f>BA251/AZ251</f>
        <v>#REF!</v>
      </c>
      <c r="BL251" s="546"/>
      <c r="BM251" s="238" t="e">
        <f>BM252+BM257</f>
        <v>#REF!</v>
      </c>
      <c r="BN251" s="239"/>
      <c r="BO251" s="455"/>
      <c r="BP251" s="547"/>
      <c r="BQ251" s="548"/>
      <c r="BR251" s="549"/>
      <c r="BS251" s="550"/>
      <c r="BT251" s="547"/>
      <c r="BU251" s="548"/>
      <c r="BV251" s="549"/>
      <c r="BW251" s="550"/>
      <c r="BX251" s="551">
        <f>BX252</f>
        <v>0</v>
      </c>
      <c r="BY251" s="552">
        <f>F251</f>
        <v>42</v>
      </c>
      <c r="BZ251" s="553" t="e">
        <f>M251+BM251+BQ251+BU251</f>
        <v>#REF!</v>
      </c>
      <c r="CA251" s="548" t="e">
        <f>BZ251-BY251</f>
        <v>#REF!</v>
      </c>
      <c r="CB251" s="554" t="e">
        <f>BZ251/BY251</f>
        <v>#REF!</v>
      </c>
      <c r="CC251" s="309" t="e">
        <f>BZ251-E251</f>
        <v>#REF!</v>
      </c>
      <c r="CD251" s="555" t="e">
        <f>CD252+CD257</f>
        <v>#REF!</v>
      </c>
      <c r="CE251" s="556" t="e">
        <f>CE252+CE257</f>
        <v>#REF!</v>
      </c>
      <c r="CF251" s="557"/>
      <c r="CG251" s="558"/>
      <c r="CH251" s="558"/>
      <c r="CI251" s="558"/>
      <c r="CJ251" s="558"/>
      <c r="CK251" s="558"/>
      <c r="CL251" s="558"/>
      <c r="CM251" s="559"/>
      <c r="CN251" s="559"/>
      <c r="CO251" s="559"/>
      <c r="CP251" s="559"/>
      <c r="CQ251" s="559"/>
      <c r="CR251" s="559"/>
      <c r="CS251" s="559"/>
      <c r="CT251" s="559"/>
      <c r="CU251" s="559"/>
      <c r="CV251" s="559"/>
      <c r="CW251" s="559"/>
      <c r="CX251" s="559"/>
      <c r="CY251" s="559"/>
      <c r="CZ251" s="559"/>
      <c r="DA251" s="101"/>
      <c r="DB251" s="101">
        <f>SUM(DB252:DB256)</f>
        <v>42</v>
      </c>
      <c r="DC251" s="108"/>
      <c r="DD251" s="108"/>
      <c r="DE251" s="108"/>
      <c r="DF251" s="108">
        <f t="shared" si="138"/>
        <v>0</v>
      </c>
      <c r="DG251" s="134">
        <f t="shared" si="143"/>
        <v>0</v>
      </c>
      <c r="DI251" s="826"/>
      <c r="DJ251" s="788"/>
    </row>
    <row r="252" spans="1:114" s="783" customFormat="1" hidden="1">
      <c r="A252" s="177"/>
      <c r="B252" s="187" t="s">
        <v>29</v>
      </c>
      <c r="C252" s="837" t="s">
        <v>54</v>
      </c>
      <c r="D252" s="31">
        <v>30</v>
      </c>
      <c r="E252" s="31">
        <v>19.2</v>
      </c>
      <c r="F252" s="31">
        <v>19.2</v>
      </c>
      <c r="G252" s="31">
        <v>19.2</v>
      </c>
      <c r="H252" s="31"/>
      <c r="I252" s="31"/>
      <c r="J252" s="31"/>
      <c r="K252" s="31"/>
      <c r="L252" s="105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106"/>
      <c r="Z252" s="105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107"/>
      <c r="AL252" s="105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107"/>
      <c r="AX252" s="108"/>
      <c r="AY252" s="31">
        <v>14.74</v>
      </c>
      <c r="AZ252" s="109"/>
      <c r="BA252" s="62">
        <v>14.31</v>
      </c>
      <c r="BB252" s="62"/>
      <c r="BC252" s="62">
        <v>4.3</v>
      </c>
      <c r="BD252" s="62"/>
      <c r="BE252" s="110">
        <v>0.32</v>
      </c>
      <c r="BF252" s="109">
        <v>0.12</v>
      </c>
      <c r="BG252" s="62"/>
      <c r="BH252" s="62"/>
      <c r="BI252" s="110"/>
      <c r="BJ252" s="426"/>
      <c r="BK252" s="427"/>
      <c r="BL252" s="560"/>
      <c r="BM252" s="2"/>
      <c r="BN252" s="12"/>
      <c r="BO252" s="585"/>
      <c r="BP252" s="14"/>
      <c r="BQ252" s="15"/>
      <c r="BR252" s="563"/>
      <c r="BS252" s="17"/>
      <c r="BT252" s="14"/>
      <c r="BU252" s="15"/>
      <c r="BV252" s="563"/>
      <c r="BW252" s="17"/>
      <c r="BX252" s="18"/>
      <c r="BY252" s="19"/>
      <c r="BZ252" s="20"/>
      <c r="CA252" s="564"/>
      <c r="CB252" s="21"/>
      <c r="CC252" s="22"/>
      <c r="CD252" s="598"/>
      <c r="CE252" s="599"/>
      <c r="CF252" s="24"/>
      <c r="CG252" s="74"/>
      <c r="CH252" s="74"/>
      <c r="CI252" s="74"/>
      <c r="CJ252" s="74"/>
      <c r="CK252" s="74"/>
      <c r="CL252" s="74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31">
        <v>19.2</v>
      </c>
      <c r="DB252" s="31">
        <v>19.2</v>
      </c>
      <c r="DC252" s="31">
        <v>19.2</v>
      </c>
      <c r="DD252" s="31">
        <v>12</v>
      </c>
      <c r="DE252" s="31">
        <v>19.2</v>
      </c>
      <c r="DF252" s="108">
        <f t="shared" si="138"/>
        <v>9.6</v>
      </c>
      <c r="DG252" s="134">
        <f t="shared" si="143"/>
        <v>9.6</v>
      </c>
      <c r="DI252" s="826"/>
      <c r="DJ252" s="788"/>
    </row>
    <row r="253" spans="1:114" s="783" customFormat="1" hidden="1">
      <c r="A253" s="177"/>
      <c r="B253" s="187" t="s">
        <v>200</v>
      </c>
      <c r="C253" s="837"/>
      <c r="D253" s="31"/>
      <c r="E253" s="31"/>
      <c r="F253" s="31"/>
      <c r="G253" s="31"/>
      <c r="H253" s="31"/>
      <c r="I253" s="31"/>
      <c r="J253" s="31"/>
      <c r="K253" s="31"/>
      <c r="L253" s="105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106"/>
      <c r="Z253" s="105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107"/>
      <c r="AL253" s="105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107"/>
      <c r="AX253" s="108"/>
      <c r="AY253" s="31"/>
      <c r="AZ253" s="109"/>
      <c r="BA253" s="62"/>
      <c r="BB253" s="62"/>
      <c r="BC253" s="62"/>
      <c r="BD253" s="62"/>
      <c r="BE253" s="110"/>
      <c r="BF253" s="109"/>
      <c r="BG253" s="62"/>
      <c r="BH253" s="62"/>
      <c r="BI253" s="110"/>
      <c r="BJ253" s="426"/>
      <c r="BK253" s="427"/>
      <c r="BL253" s="560"/>
      <c r="BM253" s="2"/>
      <c r="BN253" s="12"/>
      <c r="BO253" s="585"/>
      <c r="BP253" s="14"/>
      <c r="BQ253" s="15"/>
      <c r="BR253" s="563"/>
      <c r="BS253" s="17"/>
      <c r="BT253" s="14"/>
      <c r="BU253" s="15"/>
      <c r="BV253" s="563"/>
      <c r="BW253" s="17"/>
      <c r="BX253" s="18"/>
      <c r="BY253" s="19"/>
      <c r="BZ253" s="20"/>
      <c r="CA253" s="564"/>
      <c r="CB253" s="21"/>
      <c r="CC253" s="22"/>
      <c r="CD253" s="598"/>
      <c r="CE253" s="599"/>
      <c r="CF253" s="24"/>
      <c r="CG253" s="74"/>
      <c r="CH253" s="74"/>
      <c r="CI253" s="74"/>
      <c r="CJ253" s="74"/>
      <c r="CK253" s="74"/>
      <c r="CL253" s="74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31"/>
      <c r="DB253" s="31"/>
      <c r="DC253" s="31"/>
      <c r="DD253" s="31"/>
      <c r="DE253" s="31"/>
      <c r="DF253" s="108">
        <f t="shared" si="138"/>
        <v>0</v>
      </c>
      <c r="DG253" s="134">
        <f t="shared" si="143"/>
        <v>0</v>
      </c>
      <c r="DI253" s="826"/>
      <c r="DJ253" s="788"/>
    </row>
    <row r="254" spans="1:114" s="783" customFormat="1" hidden="1">
      <c r="A254" s="177"/>
      <c r="B254" s="187" t="s">
        <v>66</v>
      </c>
      <c r="C254" s="837" t="s">
        <v>54</v>
      </c>
      <c r="D254" s="31">
        <v>5</v>
      </c>
      <c r="E254" s="31">
        <v>5.5</v>
      </c>
      <c r="F254" s="31">
        <v>5.5</v>
      </c>
      <c r="G254" s="31">
        <v>5.5</v>
      </c>
      <c r="H254" s="31"/>
      <c r="I254" s="31"/>
      <c r="J254" s="31"/>
      <c r="K254" s="31"/>
      <c r="L254" s="105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106"/>
      <c r="Z254" s="105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107"/>
      <c r="AL254" s="105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107"/>
      <c r="AX254" s="108"/>
      <c r="AY254" s="31">
        <v>6.05</v>
      </c>
      <c r="AZ254" s="109"/>
      <c r="BA254" s="62">
        <v>4.7</v>
      </c>
      <c r="BB254" s="62"/>
      <c r="BC254" s="62"/>
      <c r="BD254" s="62"/>
      <c r="BE254" s="110"/>
      <c r="BF254" s="109"/>
      <c r="BG254" s="62"/>
      <c r="BH254" s="62"/>
      <c r="BI254" s="110"/>
      <c r="BJ254" s="426"/>
      <c r="BK254" s="427"/>
      <c r="BL254" s="560"/>
      <c r="BM254" s="2"/>
      <c r="BN254" s="12"/>
      <c r="BO254" s="585"/>
      <c r="BP254" s="14"/>
      <c r="BQ254" s="15"/>
      <c r="BR254" s="563"/>
      <c r="BS254" s="17"/>
      <c r="BT254" s="14"/>
      <c r="BU254" s="15"/>
      <c r="BV254" s="563"/>
      <c r="BW254" s="17"/>
      <c r="BX254" s="18"/>
      <c r="BY254" s="19"/>
      <c r="BZ254" s="20"/>
      <c r="CA254" s="564"/>
      <c r="CB254" s="21"/>
      <c r="CC254" s="22"/>
      <c r="CD254" s="598"/>
      <c r="CE254" s="599"/>
      <c r="CF254" s="24"/>
      <c r="CG254" s="74"/>
      <c r="CH254" s="74"/>
      <c r="CI254" s="74"/>
      <c r="CJ254" s="74"/>
      <c r="CK254" s="74"/>
      <c r="CL254" s="74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31">
        <v>5.5</v>
      </c>
      <c r="DB254" s="31">
        <v>5.5</v>
      </c>
      <c r="DC254" s="31">
        <v>5.5</v>
      </c>
      <c r="DD254" s="31">
        <v>1.07</v>
      </c>
      <c r="DE254" s="31">
        <v>5.5</v>
      </c>
      <c r="DF254" s="108">
        <f t="shared" si="138"/>
        <v>2.75</v>
      </c>
      <c r="DG254" s="134">
        <f t="shared" si="143"/>
        <v>2.75</v>
      </c>
      <c r="DI254" s="826"/>
      <c r="DJ254" s="788"/>
    </row>
    <row r="255" spans="1:114" s="783" customFormat="1" hidden="1">
      <c r="A255" s="177"/>
      <c r="B255" s="187" t="s">
        <v>59</v>
      </c>
      <c r="C255" s="837" t="s">
        <v>54</v>
      </c>
      <c r="D255" s="31">
        <v>7.6</v>
      </c>
      <c r="E255" s="31">
        <v>2</v>
      </c>
      <c r="F255" s="31">
        <v>2</v>
      </c>
      <c r="G255" s="31">
        <v>2</v>
      </c>
      <c r="H255" s="31"/>
      <c r="I255" s="31"/>
      <c r="J255" s="31"/>
      <c r="K255" s="31"/>
      <c r="L255" s="105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106"/>
      <c r="Z255" s="105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107"/>
      <c r="AL255" s="105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107"/>
      <c r="AX255" s="108"/>
      <c r="AY255" s="31"/>
      <c r="AZ255" s="109"/>
      <c r="BA255" s="62">
        <v>1.05</v>
      </c>
      <c r="BB255" s="62"/>
      <c r="BC255" s="62">
        <v>0.59</v>
      </c>
      <c r="BD255" s="62"/>
      <c r="BE255" s="110">
        <v>0.11</v>
      </c>
      <c r="BF255" s="109">
        <v>0.05</v>
      </c>
      <c r="BG255" s="62"/>
      <c r="BH255" s="62"/>
      <c r="BI255" s="110"/>
      <c r="BJ255" s="426"/>
      <c r="BK255" s="427"/>
      <c r="BL255" s="560"/>
      <c r="BM255" s="2"/>
      <c r="BN255" s="12"/>
      <c r="BO255" s="585"/>
      <c r="BP255" s="14"/>
      <c r="BQ255" s="15"/>
      <c r="BR255" s="563"/>
      <c r="BS255" s="17"/>
      <c r="BT255" s="14"/>
      <c r="BU255" s="15"/>
      <c r="BV255" s="563"/>
      <c r="BW255" s="17"/>
      <c r="BX255" s="18"/>
      <c r="BY255" s="19"/>
      <c r="BZ255" s="20"/>
      <c r="CA255" s="564"/>
      <c r="CB255" s="21"/>
      <c r="CC255" s="22"/>
      <c r="CD255" s="598"/>
      <c r="CE255" s="599"/>
      <c r="CF255" s="24"/>
      <c r="CG255" s="74"/>
      <c r="CH255" s="74"/>
      <c r="CI255" s="74"/>
      <c r="CJ255" s="74"/>
      <c r="CK255" s="74"/>
      <c r="CL255" s="74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31">
        <v>2</v>
      </c>
      <c r="DB255" s="31">
        <v>2</v>
      </c>
      <c r="DC255" s="31">
        <v>2</v>
      </c>
      <c r="DD255" s="31">
        <v>4</v>
      </c>
      <c r="DE255" s="31">
        <v>2</v>
      </c>
      <c r="DF255" s="108">
        <f t="shared" si="138"/>
        <v>1</v>
      </c>
      <c r="DG255" s="134">
        <f t="shared" si="143"/>
        <v>1</v>
      </c>
      <c r="DI255" s="826"/>
      <c r="DJ255" s="788"/>
    </row>
    <row r="256" spans="1:114" s="783" customFormat="1" hidden="1">
      <c r="A256" s="177"/>
      <c r="B256" s="187" t="s">
        <v>33</v>
      </c>
      <c r="C256" s="837" t="s">
        <v>54</v>
      </c>
      <c r="D256" s="31">
        <v>31.82</v>
      </c>
      <c r="E256" s="31">
        <v>15.3</v>
      </c>
      <c r="F256" s="31">
        <v>15.3</v>
      </c>
      <c r="G256" s="31">
        <v>15.3</v>
      </c>
      <c r="H256" s="31"/>
      <c r="I256" s="31"/>
      <c r="J256" s="31"/>
      <c r="K256" s="31"/>
      <c r="L256" s="105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106"/>
      <c r="Z256" s="105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107"/>
      <c r="AL256" s="105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107"/>
      <c r="AX256" s="108"/>
      <c r="AY256" s="31">
        <v>17.64</v>
      </c>
      <c r="AZ256" s="109"/>
      <c r="BA256" s="62">
        <v>10.65</v>
      </c>
      <c r="BB256" s="62"/>
      <c r="BC256" s="62">
        <v>4.3099999999999996</v>
      </c>
      <c r="BD256" s="62"/>
      <c r="BE256" s="110">
        <v>0.32</v>
      </c>
      <c r="BF256" s="109">
        <v>0.12</v>
      </c>
      <c r="BG256" s="62"/>
      <c r="BH256" s="62"/>
      <c r="BI256" s="110"/>
      <c r="BJ256" s="426"/>
      <c r="BK256" s="427"/>
      <c r="BL256" s="560"/>
      <c r="BM256" s="2"/>
      <c r="BN256" s="12"/>
      <c r="BO256" s="585"/>
      <c r="BP256" s="14"/>
      <c r="BQ256" s="15"/>
      <c r="BR256" s="563"/>
      <c r="BS256" s="17"/>
      <c r="BT256" s="14"/>
      <c r="BU256" s="15"/>
      <c r="BV256" s="563"/>
      <c r="BW256" s="17"/>
      <c r="BX256" s="18"/>
      <c r="BY256" s="19"/>
      <c r="BZ256" s="20"/>
      <c r="CA256" s="564"/>
      <c r="CB256" s="21"/>
      <c r="CC256" s="22"/>
      <c r="CD256" s="598"/>
      <c r="CE256" s="599"/>
      <c r="CF256" s="24"/>
      <c r="CG256" s="74"/>
      <c r="CH256" s="74"/>
      <c r="CI256" s="74"/>
      <c r="CJ256" s="74"/>
      <c r="CK256" s="74"/>
      <c r="CL256" s="74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31">
        <v>15.3</v>
      </c>
      <c r="DB256" s="31">
        <v>15.3</v>
      </c>
      <c r="DC256" s="31">
        <v>15.3</v>
      </c>
      <c r="DD256" s="31">
        <v>6.15</v>
      </c>
      <c r="DE256" s="31">
        <v>15.3</v>
      </c>
      <c r="DF256" s="108">
        <f t="shared" si="138"/>
        <v>7.65</v>
      </c>
      <c r="DG256" s="134">
        <f t="shared" si="143"/>
        <v>7.65</v>
      </c>
      <c r="DI256" s="826"/>
      <c r="DJ256" s="788"/>
    </row>
    <row r="257" spans="1:114" s="783" customFormat="1">
      <c r="A257" s="232" t="s">
        <v>271</v>
      </c>
      <c r="B257" s="166" t="s">
        <v>6</v>
      </c>
      <c r="C257" s="834" t="s">
        <v>54</v>
      </c>
      <c r="D257" s="108">
        <f>SUM(D258:D264)</f>
        <v>774.83999999999992</v>
      </c>
      <c r="E257" s="108">
        <f>SUM(E258:E264)</f>
        <v>714.3</v>
      </c>
      <c r="F257" s="108">
        <f>SUM(F258:F264)</f>
        <v>714.3</v>
      </c>
      <c r="G257" s="108">
        <f>SUM(G258:G264)</f>
        <v>714.3</v>
      </c>
      <c r="H257" s="234" t="e">
        <f>#REF!+#REF!</f>
        <v>#REF!</v>
      </c>
      <c r="I257" s="234" t="e">
        <f>#REF!+#REF!</f>
        <v>#REF!</v>
      </c>
      <c r="J257" s="234" t="e">
        <f>#REF!+#REF!</f>
        <v>#REF!</v>
      </c>
      <c r="K257" s="234" t="e">
        <f>#REF!+#REF!</f>
        <v>#REF!</v>
      </c>
      <c r="L257" s="235" t="e">
        <f>#REF!+#REF!</f>
        <v>#REF!</v>
      </c>
      <c r="M257" s="235" t="e">
        <f>#REF!+#REF!</f>
        <v>#REF!</v>
      </c>
      <c r="N257" s="235" t="e">
        <f>#REF!+#REF!</f>
        <v>#REF!</v>
      </c>
      <c r="O257" s="235" t="e">
        <f>#REF!+#REF!</f>
        <v>#REF!</v>
      </c>
      <c r="P257" s="235"/>
      <c r="Q257" s="235"/>
      <c r="R257" s="235">
        <v>136.47999999999999</v>
      </c>
      <c r="S257" s="235" t="e">
        <f>#REF!+#REF!</f>
        <v>#REF!</v>
      </c>
      <c r="T257" s="235" t="e">
        <f>#REF!+#REF!</f>
        <v>#REF!</v>
      </c>
      <c r="U257" s="235" t="e">
        <f>#REF!+#REF!</f>
        <v>#REF!</v>
      </c>
      <c r="V257" s="235"/>
      <c r="W257" s="235"/>
      <c r="X257" s="235" t="e">
        <f>O257-N257</f>
        <v>#REF!</v>
      </c>
      <c r="Y257" s="236" t="e">
        <f>O257/N257</f>
        <v>#REF!</v>
      </c>
      <c r="Z257" s="235" t="e">
        <f>#REF!+#REF!</f>
        <v>#REF!</v>
      </c>
      <c r="AA257" s="235" t="e">
        <f>#REF!+#REF!</f>
        <v>#REF!</v>
      </c>
      <c r="AB257" s="235" t="e">
        <f>#REF!+#REF!</f>
        <v>#REF!</v>
      </c>
      <c r="AC257" s="235" t="e">
        <f>#REF!+#REF!</f>
        <v>#REF!</v>
      </c>
      <c r="AD257" s="235" t="e">
        <f>#REF!+#REF!</f>
        <v>#REF!</v>
      </c>
      <c r="AE257" s="235" t="e">
        <f>#REF!+#REF!</f>
        <v>#REF!</v>
      </c>
      <c r="AF257" s="235" t="e">
        <f>#REF!+#REF!</f>
        <v>#REF!</v>
      </c>
      <c r="AG257" s="235" t="e">
        <f>#REF!+#REF!</f>
        <v>#REF!</v>
      </c>
      <c r="AH257" s="235"/>
      <c r="AI257" s="235"/>
      <c r="AJ257" s="235" t="e">
        <f>AC257-AB257</f>
        <v>#REF!</v>
      </c>
      <c r="AK257" s="237" t="e">
        <f>AC257/AB257</f>
        <v>#REF!</v>
      </c>
      <c r="AL257" s="235" t="e">
        <f>#REF!+#REF!</f>
        <v>#REF!</v>
      </c>
      <c r="AM257" s="235" t="e">
        <f>#REF!+#REF!</f>
        <v>#REF!</v>
      </c>
      <c r="AN257" s="235" t="e">
        <f>#REF!+#REF!</f>
        <v>#REF!</v>
      </c>
      <c r="AO257" s="235" t="e">
        <f>#REF!+#REF!</f>
        <v>#REF!</v>
      </c>
      <c r="AP257" s="235" t="e">
        <f>#REF!+#REF!</f>
        <v>#REF!</v>
      </c>
      <c r="AQ257" s="235" t="e">
        <f>#REF!+#REF!</f>
        <v>#REF!</v>
      </c>
      <c r="AR257" s="235" t="e">
        <f>#REF!+#REF!</f>
        <v>#REF!</v>
      </c>
      <c r="AS257" s="235" t="e">
        <f>#REF!+#REF!</f>
        <v>#REF!</v>
      </c>
      <c r="AT257" s="235"/>
      <c r="AU257" s="235"/>
      <c r="AV257" s="235" t="e">
        <f>AO257-AN257</f>
        <v>#REF!</v>
      </c>
      <c r="AW257" s="237" t="e">
        <f>AO257/AN257</f>
        <v>#REF!</v>
      </c>
      <c r="AX257" s="101">
        <f>G257/2</f>
        <v>357.15</v>
      </c>
      <c r="AY257" s="101">
        <f>SUM(AY258:AY264)</f>
        <v>653.88</v>
      </c>
      <c r="AZ257" s="238" t="e">
        <f>#REF!+#REF!</f>
        <v>#REF!</v>
      </c>
      <c r="BA257" s="239">
        <f>SUM(BA258:BA264)</f>
        <v>400.63</v>
      </c>
      <c r="BB257" s="239">
        <f t="shared" ref="BB257:BG257" si="148">SUM(BB258:BB264)</f>
        <v>0</v>
      </c>
      <c r="BC257" s="239">
        <f t="shared" si="148"/>
        <v>111.52000000000001</v>
      </c>
      <c r="BD257" s="239">
        <f t="shared" si="148"/>
        <v>0</v>
      </c>
      <c r="BE257" s="240">
        <f t="shared" si="148"/>
        <v>127.34</v>
      </c>
      <c r="BF257" s="238">
        <f t="shared" si="148"/>
        <v>71.31</v>
      </c>
      <c r="BG257" s="239">
        <f t="shared" si="148"/>
        <v>0.91</v>
      </c>
      <c r="BH257" s="239"/>
      <c r="BI257" s="240"/>
      <c r="BJ257" s="417" t="e">
        <f>BA257-AZ257</f>
        <v>#REF!</v>
      </c>
      <c r="BK257" s="545" t="e">
        <f>BA257/AZ257</f>
        <v>#REF!</v>
      </c>
      <c r="BL257" s="546"/>
      <c r="BM257" s="238" t="e">
        <f>#REF!+#REF!</f>
        <v>#REF!</v>
      </c>
      <c r="BN257" s="239"/>
      <c r="BO257" s="455"/>
      <c r="BP257" s="547"/>
      <c r="BQ257" s="548"/>
      <c r="BR257" s="549"/>
      <c r="BS257" s="550"/>
      <c r="BT257" s="547"/>
      <c r="BU257" s="548"/>
      <c r="BV257" s="549"/>
      <c r="BW257" s="550"/>
      <c r="BX257" s="551" t="e">
        <f>#REF!</f>
        <v>#REF!</v>
      </c>
      <c r="BY257" s="552">
        <f>F257</f>
        <v>714.3</v>
      </c>
      <c r="BZ257" s="553" t="e">
        <f>M257+BM257+BQ257+BU257</f>
        <v>#REF!</v>
      </c>
      <c r="CA257" s="548" t="e">
        <f>BZ257-BY257</f>
        <v>#REF!</v>
      </c>
      <c r="CB257" s="554" t="e">
        <f>BZ257/BY257</f>
        <v>#REF!</v>
      </c>
      <c r="CC257" s="309" t="e">
        <f>BZ257-E257</f>
        <v>#REF!</v>
      </c>
      <c r="CD257" s="555" t="e">
        <f>#REF!+#REF!</f>
        <v>#REF!</v>
      </c>
      <c r="CE257" s="556" t="e">
        <f>#REF!+#REF!</f>
        <v>#REF!</v>
      </c>
      <c r="CF257" s="557"/>
      <c r="CG257" s="558"/>
      <c r="CH257" s="558"/>
      <c r="CI257" s="558"/>
      <c r="CJ257" s="558"/>
      <c r="CK257" s="558"/>
      <c r="CL257" s="558"/>
      <c r="CM257" s="559"/>
      <c r="CN257" s="559"/>
      <c r="CO257" s="559"/>
      <c r="CP257" s="559"/>
      <c r="CQ257" s="559"/>
      <c r="CR257" s="559"/>
      <c r="CS257" s="559"/>
      <c r="CT257" s="559"/>
      <c r="CU257" s="559"/>
      <c r="CV257" s="559"/>
      <c r="CW257" s="559"/>
      <c r="CX257" s="559"/>
      <c r="CY257" s="559"/>
      <c r="CZ257" s="559"/>
      <c r="DA257" s="101">
        <v>1120.8800000000001</v>
      </c>
      <c r="DB257" s="101">
        <f>SUM(DB258:DB264)</f>
        <v>714.3</v>
      </c>
      <c r="DC257" s="57">
        <v>2108.61</v>
      </c>
      <c r="DD257" s="108">
        <v>1879.71</v>
      </c>
      <c r="DE257" s="57">
        <v>2108.61</v>
      </c>
      <c r="DF257" s="108">
        <v>820.54</v>
      </c>
      <c r="DG257" s="117">
        <v>820.53</v>
      </c>
      <c r="DI257" s="826"/>
      <c r="DJ257" s="788"/>
    </row>
    <row r="258" spans="1:114" s="783" customFormat="1" hidden="1">
      <c r="A258" s="177"/>
      <c r="B258" s="187" t="s">
        <v>31</v>
      </c>
      <c r="C258" s="837" t="s">
        <v>54</v>
      </c>
      <c r="D258" s="31">
        <v>676.37</v>
      </c>
      <c r="E258" s="31">
        <v>603.9</v>
      </c>
      <c r="F258" s="31">
        <v>603.9</v>
      </c>
      <c r="G258" s="31">
        <v>603.9</v>
      </c>
      <c r="H258" s="31"/>
      <c r="I258" s="31"/>
      <c r="J258" s="31"/>
      <c r="K258" s="31"/>
      <c r="L258" s="105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106"/>
      <c r="Z258" s="105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107"/>
      <c r="AL258" s="105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107"/>
      <c r="AX258" s="108"/>
      <c r="AY258" s="31">
        <v>545.11</v>
      </c>
      <c r="AZ258" s="109"/>
      <c r="BA258" s="62">
        <v>339.69</v>
      </c>
      <c r="BB258" s="62"/>
      <c r="BC258" s="62">
        <v>86.42</v>
      </c>
      <c r="BD258" s="62"/>
      <c r="BE258" s="110">
        <v>122.7</v>
      </c>
      <c r="BF258" s="109">
        <v>10.35</v>
      </c>
      <c r="BG258" s="62"/>
      <c r="BH258" s="62"/>
      <c r="BI258" s="110"/>
      <c r="BJ258" s="426"/>
      <c r="BK258" s="427"/>
      <c r="BL258" s="560"/>
      <c r="BM258" s="2"/>
      <c r="BN258" s="12"/>
      <c r="BO258" s="585"/>
      <c r="BP258" s="14"/>
      <c r="BQ258" s="15"/>
      <c r="BR258" s="563"/>
      <c r="BS258" s="17"/>
      <c r="BT258" s="14"/>
      <c r="BU258" s="15"/>
      <c r="BV258" s="563"/>
      <c r="BW258" s="17"/>
      <c r="BX258" s="18"/>
      <c r="BY258" s="19"/>
      <c r="BZ258" s="20"/>
      <c r="CA258" s="564"/>
      <c r="CB258" s="21"/>
      <c r="CC258" s="22"/>
      <c r="CD258" s="598"/>
      <c r="CE258" s="599"/>
      <c r="CF258" s="24"/>
      <c r="CG258" s="74"/>
      <c r="CH258" s="74"/>
      <c r="CI258" s="74"/>
      <c r="CJ258" s="74"/>
      <c r="CK258" s="74"/>
      <c r="CL258" s="74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31">
        <v>603.9</v>
      </c>
      <c r="DB258" s="31">
        <v>603.9</v>
      </c>
      <c r="DC258" s="31">
        <v>603.9</v>
      </c>
      <c r="DD258" s="31">
        <v>575.80999999999995</v>
      </c>
      <c r="DE258" s="31">
        <v>603.9</v>
      </c>
      <c r="DF258" s="31">
        <v>301.95</v>
      </c>
      <c r="DG258" s="134">
        <f>DF258</f>
        <v>301.95</v>
      </c>
      <c r="DI258" s="826"/>
      <c r="DJ258" s="788"/>
    </row>
    <row r="259" spans="1:114" s="783" customFormat="1" hidden="1">
      <c r="A259" s="177"/>
      <c r="B259" s="187" t="s">
        <v>55</v>
      </c>
      <c r="C259" s="837" t="s">
        <v>54</v>
      </c>
      <c r="D259" s="31"/>
      <c r="E259" s="31"/>
      <c r="F259" s="31"/>
      <c r="G259" s="31"/>
      <c r="H259" s="31"/>
      <c r="I259" s="31"/>
      <c r="J259" s="31"/>
      <c r="K259" s="31"/>
      <c r="L259" s="105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106"/>
      <c r="Z259" s="105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107"/>
      <c r="AL259" s="105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107"/>
      <c r="AX259" s="108"/>
      <c r="AY259" s="31"/>
      <c r="AZ259" s="109"/>
      <c r="BA259" s="62"/>
      <c r="BB259" s="62"/>
      <c r="BC259" s="62"/>
      <c r="BD259" s="62"/>
      <c r="BE259" s="110"/>
      <c r="BF259" s="109"/>
      <c r="BG259" s="62"/>
      <c r="BH259" s="62"/>
      <c r="BI259" s="110"/>
      <c r="BJ259" s="426"/>
      <c r="BK259" s="427"/>
      <c r="BL259" s="560"/>
      <c r="BM259" s="2"/>
      <c r="BN259" s="12"/>
      <c r="BO259" s="585"/>
      <c r="BP259" s="14"/>
      <c r="BQ259" s="15"/>
      <c r="BR259" s="563"/>
      <c r="BS259" s="17"/>
      <c r="BT259" s="14"/>
      <c r="BU259" s="15"/>
      <c r="BV259" s="563"/>
      <c r="BW259" s="17"/>
      <c r="BX259" s="18"/>
      <c r="BY259" s="19"/>
      <c r="BZ259" s="20"/>
      <c r="CA259" s="564"/>
      <c r="CB259" s="21"/>
      <c r="CC259" s="22"/>
      <c r="CD259" s="598"/>
      <c r="CE259" s="599"/>
      <c r="CF259" s="24"/>
      <c r="CG259" s="74"/>
      <c r="CH259" s="74"/>
      <c r="CI259" s="74"/>
      <c r="CJ259" s="74"/>
      <c r="CK259" s="74"/>
      <c r="CL259" s="74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31"/>
      <c r="DB259" s="31"/>
      <c r="DC259" s="31"/>
      <c r="DD259" s="31"/>
      <c r="DE259" s="31"/>
      <c r="DF259" s="31"/>
      <c r="DG259" s="134"/>
      <c r="DI259" s="826"/>
      <c r="DJ259" s="788"/>
    </row>
    <row r="260" spans="1:114" s="783" customFormat="1" hidden="1">
      <c r="A260" s="177"/>
      <c r="B260" s="187" t="s">
        <v>233</v>
      </c>
      <c r="C260" s="837"/>
      <c r="D260" s="31"/>
      <c r="E260" s="31"/>
      <c r="F260" s="31"/>
      <c r="G260" s="31"/>
      <c r="H260" s="31"/>
      <c r="I260" s="31"/>
      <c r="J260" s="31"/>
      <c r="K260" s="31"/>
      <c r="L260" s="105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106"/>
      <c r="Z260" s="105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107"/>
      <c r="AL260" s="105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107"/>
      <c r="AX260" s="108"/>
      <c r="AY260" s="31"/>
      <c r="AZ260" s="109"/>
      <c r="BA260" s="62"/>
      <c r="BB260" s="62"/>
      <c r="BC260" s="62"/>
      <c r="BD260" s="62"/>
      <c r="BE260" s="110"/>
      <c r="BF260" s="109"/>
      <c r="BG260" s="62">
        <v>0.91</v>
      </c>
      <c r="BH260" s="62"/>
      <c r="BI260" s="110"/>
      <c r="BJ260" s="426"/>
      <c r="BK260" s="427"/>
      <c r="BL260" s="560"/>
      <c r="BM260" s="2"/>
      <c r="BN260" s="12"/>
      <c r="BO260" s="585"/>
      <c r="BP260" s="14"/>
      <c r="BQ260" s="15"/>
      <c r="BR260" s="563"/>
      <c r="BS260" s="17"/>
      <c r="BT260" s="14"/>
      <c r="BU260" s="15"/>
      <c r="BV260" s="563"/>
      <c r="BW260" s="17"/>
      <c r="BX260" s="18"/>
      <c r="BY260" s="19"/>
      <c r="BZ260" s="20"/>
      <c r="CA260" s="564"/>
      <c r="CB260" s="21"/>
      <c r="CC260" s="22"/>
      <c r="CD260" s="598"/>
      <c r="CE260" s="599"/>
      <c r="CF260" s="24"/>
      <c r="CG260" s="74"/>
      <c r="CH260" s="74"/>
      <c r="CI260" s="74"/>
      <c r="CJ260" s="74"/>
      <c r="CK260" s="74"/>
      <c r="CL260" s="74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31"/>
      <c r="DB260" s="31"/>
      <c r="DC260" s="31"/>
      <c r="DD260" s="31"/>
      <c r="DE260" s="31"/>
      <c r="DF260" s="31"/>
      <c r="DG260" s="134"/>
      <c r="DI260" s="826"/>
      <c r="DJ260" s="788"/>
    </row>
    <row r="261" spans="1:114" s="783" customFormat="1" hidden="1">
      <c r="A261" s="177"/>
      <c r="B261" s="187" t="s">
        <v>186</v>
      </c>
      <c r="C261" s="837" t="s">
        <v>54</v>
      </c>
      <c r="D261" s="31"/>
      <c r="E261" s="31"/>
      <c r="F261" s="31"/>
      <c r="G261" s="31"/>
      <c r="H261" s="31"/>
      <c r="I261" s="31"/>
      <c r="J261" s="31"/>
      <c r="K261" s="31"/>
      <c r="L261" s="105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106"/>
      <c r="Z261" s="105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107"/>
      <c r="AL261" s="105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107"/>
      <c r="AX261" s="108"/>
      <c r="AY261" s="31"/>
      <c r="AZ261" s="109"/>
      <c r="BA261" s="62"/>
      <c r="BB261" s="62"/>
      <c r="BC261" s="62"/>
      <c r="BD261" s="62"/>
      <c r="BE261" s="110"/>
      <c r="BF261" s="109"/>
      <c r="BG261" s="62"/>
      <c r="BH261" s="62"/>
      <c r="BI261" s="110"/>
      <c r="BJ261" s="426"/>
      <c r="BK261" s="427"/>
      <c r="BL261" s="560"/>
      <c r="BM261" s="2"/>
      <c r="BN261" s="12"/>
      <c r="BO261" s="585"/>
      <c r="BP261" s="14"/>
      <c r="BQ261" s="15"/>
      <c r="BR261" s="563"/>
      <c r="BS261" s="17"/>
      <c r="BT261" s="14"/>
      <c r="BU261" s="15"/>
      <c r="BV261" s="563"/>
      <c r="BW261" s="17"/>
      <c r="BX261" s="18"/>
      <c r="BY261" s="19"/>
      <c r="BZ261" s="20"/>
      <c r="CA261" s="564"/>
      <c r="CB261" s="21"/>
      <c r="CC261" s="22"/>
      <c r="CD261" s="598"/>
      <c r="CE261" s="599"/>
      <c r="CF261" s="24"/>
      <c r="CG261" s="74"/>
      <c r="CH261" s="74"/>
      <c r="CI261" s="74"/>
      <c r="CJ261" s="74"/>
      <c r="CK261" s="74"/>
      <c r="CL261" s="74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31"/>
      <c r="DB261" s="31"/>
      <c r="DC261" s="31"/>
      <c r="DD261" s="31"/>
      <c r="DE261" s="31"/>
      <c r="DF261" s="31"/>
      <c r="DG261" s="134"/>
      <c r="DI261" s="826"/>
      <c r="DJ261" s="788"/>
    </row>
    <row r="262" spans="1:114" s="783" customFormat="1" hidden="1">
      <c r="A262" s="177"/>
      <c r="B262" s="187" t="s">
        <v>159</v>
      </c>
      <c r="C262" s="837" t="s">
        <v>54</v>
      </c>
      <c r="D262" s="31">
        <v>2.4</v>
      </c>
      <c r="E262" s="31">
        <v>2.4</v>
      </c>
      <c r="F262" s="31">
        <v>2.4</v>
      </c>
      <c r="G262" s="31">
        <v>2.4</v>
      </c>
      <c r="H262" s="31"/>
      <c r="I262" s="31"/>
      <c r="J262" s="31"/>
      <c r="K262" s="31"/>
      <c r="L262" s="105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106"/>
      <c r="Z262" s="105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107"/>
      <c r="AL262" s="105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107"/>
      <c r="AX262" s="108"/>
      <c r="AY262" s="31">
        <f>SUM(BA262,BC262,BE262)</f>
        <v>2.4000000000000004</v>
      </c>
      <c r="AZ262" s="109"/>
      <c r="BA262" s="62">
        <v>1.51</v>
      </c>
      <c r="BB262" s="62"/>
      <c r="BC262" s="62">
        <v>0.81</v>
      </c>
      <c r="BD262" s="62"/>
      <c r="BE262" s="110">
        <v>0.08</v>
      </c>
      <c r="BF262" s="109"/>
      <c r="BG262" s="62"/>
      <c r="BH262" s="62"/>
      <c r="BI262" s="110"/>
      <c r="BJ262" s="426"/>
      <c r="BK262" s="427"/>
      <c r="BL262" s="560"/>
      <c r="BM262" s="2"/>
      <c r="BN262" s="12"/>
      <c r="BO262" s="585"/>
      <c r="BP262" s="14"/>
      <c r="BQ262" s="15"/>
      <c r="BR262" s="563"/>
      <c r="BS262" s="17"/>
      <c r="BT262" s="14"/>
      <c r="BU262" s="15"/>
      <c r="BV262" s="563"/>
      <c r="BW262" s="17"/>
      <c r="BX262" s="18"/>
      <c r="BY262" s="19"/>
      <c r="BZ262" s="20"/>
      <c r="CA262" s="564"/>
      <c r="CB262" s="21"/>
      <c r="CC262" s="22"/>
      <c r="CD262" s="598"/>
      <c r="CE262" s="599"/>
      <c r="CF262" s="24"/>
      <c r="CG262" s="74"/>
      <c r="CH262" s="74"/>
      <c r="CI262" s="74"/>
      <c r="CJ262" s="74"/>
      <c r="CK262" s="74"/>
      <c r="CL262" s="74"/>
      <c r="CM262" s="75"/>
      <c r="CN262" s="75"/>
      <c r="CO262" s="75"/>
      <c r="CP262" s="75"/>
      <c r="CQ262" s="75"/>
      <c r="CR262" s="75"/>
      <c r="CS262" s="75"/>
      <c r="CT262" s="75"/>
      <c r="CU262" s="75"/>
      <c r="CV262" s="75"/>
      <c r="CW262" s="75"/>
      <c r="CX262" s="75"/>
      <c r="CY262" s="75"/>
      <c r="CZ262" s="75"/>
      <c r="DA262" s="31">
        <v>2.4</v>
      </c>
      <c r="DB262" s="31">
        <v>2.4</v>
      </c>
      <c r="DC262" s="31">
        <v>2.4</v>
      </c>
      <c r="DD262" s="31">
        <v>2.4</v>
      </c>
      <c r="DE262" s="31">
        <v>2.4</v>
      </c>
      <c r="DF262" s="31">
        <v>1.2</v>
      </c>
      <c r="DG262" s="134">
        <f>DF262</f>
        <v>1.2</v>
      </c>
      <c r="DI262" s="826"/>
      <c r="DJ262" s="788"/>
    </row>
    <row r="263" spans="1:114" s="783" customFormat="1" hidden="1">
      <c r="A263" s="177"/>
      <c r="B263" s="187" t="s">
        <v>7</v>
      </c>
      <c r="C263" s="837" t="s">
        <v>54</v>
      </c>
      <c r="D263" s="33">
        <v>53.14</v>
      </c>
      <c r="E263" s="33">
        <v>70</v>
      </c>
      <c r="F263" s="33">
        <v>70</v>
      </c>
      <c r="G263" s="33">
        <v>70</v>
      </c>
      <c r="H263" s="31"/>
      <c r="I263" s="31"/>
      <c r="J263" s="31"/>
      <c r="K263" s="31"/>
      <c r="L263" s="105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106"/>
      <c r="Z263" s="105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107"/>
      <c r="AL263" s="105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107"/>
      <c r="AX263" s="108"/>
      <c r="AY263" s="31">
        <v>106.37</v>
      </c>
      <c r="AZ263" s="109"/>
      <c r="BA263" s="62">
        <v>24.29</v>
      </c>
      <c r="BB263" s="62"/>
      <c r="BC263" s="62">
        <v>24.29</v>
      </c>
      <c r="BD263" s="62"/>
      <c r="BE263" s="110">
        <v>4.5599999999999996</v>
      </c>
      <c r="BF263" s="109">
        <v>60.96</v>
      </c>
      <c r="BG263" s="62"/>
      <c r="BH263" s="62"/>
      <c r="BI263" s="110"/>
      <c r="BJ263" s="426"/>
      <c r="BK263" s="427"/>
      <c r="BL263" s="560"/>
      <c r="BM263" s="2"/>
      <c r="BN263" s="12"/>
      <c r="BO263" s="585"/>
      <c r="BP263" s="14"/>
      <c r="BQ263" s="15"/>
      <c r="BR263" s="563"/>
      <c r="BS263" s="17"/>
      <c r="BT263" s="14"/>
      <c r="BU263" s="15"/>
      <c r="BV263" s="563"/>
      <c r="BW263" s="17"/>
      <c r="BX263" s="18"/>
      <c r="BY263" s="19"/>
      <c r="BZ263" s="20"/>
      <c r="CA263" s="564"/>
      <c r="CB263" s="21"/>
      <c r="CC263" s="22"/>
      <c r="CD263" s="598"/>
      <c r="CE263" s="599"/>
      <c r="CF263" s="24"/>
      <c r="CG263" s="74"/>
      <c r="CH263" s="74"/>
      <c r="CI263" s="74"/>
      <c r="CJ263" s="74"/>
      <c r="CK263" s="74"/>
      <c r="CL263" s="74"/>
      <c r="CM263" s="75"/>
      <c r="CN263" s="75"/>
      <c r="CO263" s="75"/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  <c r="CZ263" s="75"/>
      <c r="DA263" s="31">
        <v>70</v>
      </c>
      <c r="DB263" s="31">
        <v>70</v>
      </c>
      <c r="DC263" s="767">
        <v>78.91</v>
      </c>
      <c r="DD263" s="33">
        <v>72.099999999999994</v>
      </c>
      <c r="DE263" s="767">
        <v>78.91</v>
      </c>
      <c r="DF263" s="767">
        <v>39.450000000000003</v>
      </c>
      <c r="DG263" s="134">
        <f>DF263</f>
        <v>39.450000000000003</v>
      </c>
      <c r="DH263" s="835"/>
      <c r="DI263" s="826"/>
      <c r="DJ263" s="788"/>
    </row>
    <row r="264" spans="1:114" s="783" customFormat="1" hidden="1">
      <c r="A264" s="267"/>
      <c r="B264" s="268" t="s">
        <v>166</v>
      </c>
      <c r="C264" s="837" t="s">
        <v>54</v>
      </c>
      <c r="D264" s="270">
        <v>42.93</v>
      </c>
      <c r="E264" s="270">
        <v>38</v>
      </c>
      <c r="F264" s="270">
        <v>38</v>
      </c>
      <c r="G264" s="270">
        <v>38</v>
      </c>
      <c r="H264" s="270"/>
      <c r="I264" s="270"/>
      <c r="J264" s="270"/>
      <c r="K264" s="270"/>
      <c r="L264" s="271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2"/>
      <c r="Z264" s="271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3"/>
      <c r="AL264" s="271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3"/>
      <c r="AX264" s="274"/>
      <c r="AY264" s="31"/>
      <c r="AZ264" s="275"/>
      <c r="BA264" s="276">
        <v>35.14</v>
      </c>
      <c r="BB264" s="276"/>
      <c r="BC264" s="276"/>
      <c r="BD264" s="276"/>
      <c r="BE264" s="110"/>
      <c r="BF264" s="275"/>
      <c r="BG264" s="276"/>
      <c r="BH264" s="276"/>
      <c r="BI264" s="600"/>
      <c r="BJ264" s="601"/>
      <c r="BK264" s="602"/>
      <c r="BL264" s="603"/>
      <c r="BM264" s="275"/>
      <c r="BN264" s="276"/>
      <c r="BO264" s="604"/>
      <c r="BP264" s="605"/>
      <c r="BQ264" s="606"/>
      <c r="BR264" s="607"/>
      <c r="BS264" s="608"/>
      <c r="BT264" s="605"/>
      <c r="BU264" s="606"/>
      <c r="BV264" s="607"/>
      <c r="BW264" s="608"/>
      <c r="BX264" s="609"/>
      <c r="BY264" s="610"/>
      <c r="BZ264" s="83"/>
      <c r="CA264" s="611"/>
      <c r="CB264" s="612"/>
      <c r="CC264" s="269"/>
      <c r="CD264" s="613"/>
      <c r="CE264" s="614"/>
      <c r="CF264" s="615"/>
      <c r="CG264" s="616"/>
      <c r="CH264" s="616"/>
      <c r="CI264" s="616"/>
      <c r="CJ264" s="616"/>
      <c r="CK264" s="616"/>
      <c r="CL264" s="616"/>
      <c r="CM264" s="617"/>
      <c r="CN264" s="617"/>
      <c r="CO264" s="617"/>
      <c r="CP264" s="617"/>
      <c r="CQ264" s="617"/>
      <c r="CR264" s="617"/>
      <c r="CS264" s="617"/>
      <c r="CT264" s="617"/>
      <c r="CU264" s="617"/>
      <c r="CV264" s="617"/>
      <c r="CW264" s="617"/>
      <c r="CX264" s="617"/>
      <c r="CY264" s="617"/>
      <c r="CZ264" s="617"/>
      <c r="DA264" s="31">
        <v>38</v>
      </c>
      <c r="DB264" s="31">
        <v>38</v>
      </c>
      <c r="DC264" s="772">
        <v>78</v>
      </c>
      <c r="DD264" s="270">
        <v>49.83</v>
      </c>
      <c r="DE264" s="772">
        <v>78</v>
      </c>
      <c r="DF264" s="772">
        <v>78</v>
      </c>
      <c r="DG264" s="134">
        <f>DF264</f>
        <v>78</v>
      </c>
      <c r="DH264" s="835"/>
      <c r="DI264" s="826"/>
      <c r="DJ264" s="788"/>
    </row>
    <row r="265" spans="1:114" s="783" customFormat="1" hidden="1">
      <c r="A265" s="208">
        <v>8</v>
      </c>
      <c r="B265" s="160" t="s">
        <v>70</v>
      </c>
      <c r="C265" s="843" t="s">
        <v>54</v>
      </c>
      <c r="D265" s="117">
        <f>SUM(D266,D268,D273,D276,D291,D293,D295)</f>
        <v>0</v>
      </c>
      <c r="E265" s="117">
        <f>SUM(E266,E268,E273,E276,E291,E293,E295)</f>
        <v>0</v>
      </c>
      <c r="F265" s="117">
        <f>SUM(F266,F268,F273,F276,F291,F293,F295)</f>
        <v>0</v>
      </c>
      <c r="G265" s="117">
        <f>SUM(G266,G268,G273,G276,G291,G293,G295)</f>
        <v>0</v>
      </c>
      <c r="H265" s="277"/>
      <c r="I265" s="277"/>
      <c r="J265" s="277"/>
      <c r="K265" s="277"/>
      <c r="L265" s="277"/>
      <c r="M265" s="117">
        <f>M266+M268+M276+M291+M293+M295</f>
        <v>185.20255</v>
      </c>
      <c r="N265" s="117"/>
      <c r="O265" s="117"/>
      <c r="P265" s="117"/>
      <c r="Q265" s="117"/>
      <c r="R265" s="117"/>
      <c r="S265" s="117"/>
      <c r="T265" s="117"/>
      <c r="U265" s="117"/>
      <c r="V265" s="117"/>
      <c r="W265" s="117">
        <f>W266+W268+W276+W291+W293+W295</f>
        <v>185.20000000000002</v>
      </c>
      <c r="X265" s="277"/>
      <c r="Y265" s="119"/>
      <c r="Z265" s="277"/>
      <c r="AA265" s="117">
        <f>AA266+AA268+AA276+AA291+AA293+AA295</f>
        <v>205.85549</v>
      </c>
      <c r="AB265" s="117"/>
      <c r="AC265" s="117"/>
      <c r="AD265" s="117"/>
      <c r="AE265" s="117"/>
      <c r="AF265" s="117"/>
      <c r="AG265" s="117"/>
      <c r="AH265" s="117"/>
      <c r="AI265" s="117">
        <f>AI266+AI268+AI276+AI291+AI293+AI295</f>
        <v>0</v>
      </c>
      <c r="AJ265" s="277"/>
      <c r="AK265" s="120"/>
      <c r="AL265" s="277"/>
      <c r="AM265" s="117">
        <f>AM266+AM268+AM276+AM291+AM293+AM295</f>
        <v>205.85549</v>
      </c>
      <c r="AN265" s="117"/>
      <c r="AO265" s="117"/>
      <c r="AP265" s="117"/>
      <c r="AQ265" s="117"/>
      <c r="AR265" s="117"/>
      <c r="AS265" s="117"/>
      <c r="AT265" s="117"/>
      <c r="AU265" s="117">
        <f>AU266+AU268+AU276+AU291+AU293+AU295</f>
        <v>0</v>
      </c>
      <c r="AV265" s="277"/>
      <c r="AW265" s="120"/>
      <c r="AX265" s="117">
        <v>1122.8499999999999</v>
      </c>
      <c r="AY265" s="117">
        <f>AY266+AY268+AY276+AY291+AY293+AY295+AY273</f>
        <v>0</v>
      </c>
      <c r="AZ265" s="121"/>
      <c r="BA265" s="122"/>
      <c r="BB265" s="122"/>
      <c r="BC265" s="122"/>
      <c r="BD265" s="122"/>
      <c r="BE265" s="123"/>
      <c r="BF265" s="121">
        <f>BF268+BF266+BF276</f>
        <v>257.25414000000001</v>
      </c>
      <c r="BG265" s="122"/>
      <c r="BH265" s="122">
        <f>BH266+BH268+BH276+BH291+BH293+BH295+BH273</f>
        <v>-247.29414</v>
      </c>
      <c r="BI265" s="123"/>
      <c r="BJ265" s="288"/>
      <c r="BK265" s="407"/>
      <c r="BL265" s="618"/>
      <c r="BM265" s="121">
        <f>BM266+BM268+BM276+BM291+BM293+BM295</f>
        <v>205.85549</v>
      </c>
      <c r="BN265" s="122"/>
      <c r="BO265" s="409"/>
      <c r="BP265" s="448"/>
      <c r="BQ265" s="516"/>
      <c r="BR265" s="619"/>
      <c r="BS265" s="518"/>
      <c r="BT265" s="448"/>
      <c r="BU265" s="516"/>
      <c r="BV265" s="619"/>
      <c r="BW265" s="518"/>
      <c r="BX265" s="411"/>
      <c r="BY265" s="449"/>
      <c r="BZ265" s="209">
        <f>BZ266+BZ268+BZ276+BZ291+BZ293+BZ295</f>
        <v>391.05803999999995</v>
      </c>
      <c r="CA265" s="620"/>
      <c r="CB265" s="515"/>
      <c r="CC265" s="414">
        <f>BZ265-E265</f>
        <v>391.05803999999995</v>
      </c>
      <c r="CD265" s="621">
        <v>0</v>
      </c>
      <c r="CE265" s="622">
        <v>21.65</v>
      </c>
      <c r="CF265" s="519">
        <f>CF266+CF268+CF276+CF291+CF293+CF295</f>
        <v>627.39329999999995</v>
      </c>
      <c r="CG265" s="450"/>
      <c r="CH265" s="450"/>
      <c r="CI265" s="450"/>
      <c r="CJ265" s="450"/>
      <c r="CK265" s="450"/>
      <c r="CL265" s="450"/>
      <c r="CM265" s="451"/>
      <c r="CN265" s="451"/>
      <c r="CO265" s="451"/>
      <c r="CP265" s="451"/>
      <c r="CQ265" s="451"/>
      <c r="CR265" s="451"/>
      <c r="CS265" s="451"/>
      <c r="CT265" s="451"/>
      <c r="CU265" s="451"/>
      <c r="CV265" s="451"/>
      <c r="CW265" s="451"/>
      <c r="CX265" s="451"/>
      <c r="CY265" s="451"/>
      <c r="CZ265" s="451"/>
      <c r="DA265" s="117">
        <f>DA266+DA268+DA276+DA291+DA293+DA295+DA273</f>
        <v>0</v>
      </c>
      <c r="DB265" s="117">
        <f>DB266+DB268+DB276+DB291+DB293+DB295+DB273</f>
        <v>0</v>
      </c>
      <c r="DC265" s="117">
        <f>SUM(DC266,DC268,DC273,DC276,DC291,DC293,DC295)</f>
        <v>0</v>
      </c>
      <c r="DD265" s="117">
        <f>SUM(DD266,DD268,DD273,DD276,DD291,DD293,DD295)</f>
        <v>0</v>
      </c>
      <c r="DE265" s="117">
        <f>SUM(DE266,DE268,DE273,DE276,DE291,DE293,DE295)</f>
        <v>0</v>
      </c>
      <c r="DF265" s="117">
        <f>SUM(DF266,DF268,DF273,DF276,DF291,DF293,DF295)</f>
        <v>0</v>
      </c>
      <c r="DG265" s="117">
        <f>SUM(DG266,DG268,DG273,DG276,DG291,DG293,DG295)</f>
        <v>0</v>
      </c>
      <c r="DI265" s="826"/>
      <c r="DJ265" s="788"/>
    </row>
    <row r="266" spans="1:114" s="783" customFormat="1" hidden="1">
      <c r="A266" s="278" t="s">
        <v>142</v>
      </c>
      <c r="B266" s="248" t="s">
        <v>115</v>
      </c>
      <c r="C266" s="844" t="s">
        <v>54</v>
      </c>
      <c r="D266" s="173"/>
      <c r="E266" s="173"/>
      <c r="F266" s="173"/>
      <c r="G266" s="173"/>
      <c r="H266" s="279"/>
      <c r="I266" s="279"/>
      <c r="J266" s="279"/>
      <c r="K266" s="279"/>
      <c r="L266" s="279"/>
      <c r="M266" s="169">
        <f>SUM(M267)</f>
        <v>11.49</v>
      </c>
      <c r="N266" s="169"/>
      <c r="O266" s="169"/>
      <c r="P266" s="169"/>
      <c r="Q266" s="169"/>
      <c r="R266" s="169"/>
      <c r="S266" s="169"/>
      <c r="T266" s="169"/>
      <c r="U266" s="169"/>
      <c r="V266" s="169"/>
      <c r="W266" s="169">
        <f>SUM(W267)</f>
        <v>11.49</v>
      </c>
      <c r="X266" s="279"/>
      <c r="Y266" s="280"/>
      <c r="Z266" s="279"/>
      <c r="AA266" s="169">
        <f>SUM(AA267)</f>
        <v>11.494</v>
      </c>
      <c r="AB266" s="169"/>
      <c r="AC266" s="169"/>
      <c r="AD266" s="169"/>
      <c r="AE266" s="169"/>
      <c r="AF266" s="169"/>
      <c r="AG266" s="169"/>
      <c r="AH266" s="169"/>
      <c r="AI266" s="169">
        <f>SUM(AI267)</f>
        <v>0</v>
      </c>
      <c r="AJ266" s="279"/>
      <c r="AK266" s="281"/>
      <c r="AL266" s="279"/>
      <c r="AM266" s="169">
        <f>SUM(AM267)</f>
        <v>11.494</v>
      </c>
      <c r="AN266" s="169"/>
      <c r="AO266" s="169"/>
      <c r="AP266" s="169"/>
      <c r="AQ266" s="169"/>
      <c r="AR266" s="169"/>
      <c r="AS266" s="169"/>
      <c r="AT266" s="169"/>
      <c r="AU266" s="169">
        <f>SUM(AU267)</f>
        <v>0</v>
      </c>
      <c r="AV266" s="279"/>
      <c r="AW266" s="281"/>
      <c r="AX266" s="101">
        <v>68.959999999999994</v>
      </c>
      <c r="AY266" s="167"/>
      <c r="AZ266" s="174"/>
      <c r="BA266" s="175"/>
      <c r="BB266" s="175"/>
      <c r="BC266" s="175"/>
      <c r="BD266" s="175"/>
      <c r="BE266" s="176"/>
      <c r="BF266" s="174">
        <v>17.399999999999999</v>
      </c>
      <c r="BG266" s="175"/>
      <c r="BH266" s="175">
        <f>SUM(BH267)</f>
        <v>-17.399999999999999</v>
      </c>
      <c r="BI266" s="176"/>
      <c r="BJ266" s="417">
        <f t="shared" ref="BJ266:BJ272" si="149">BA266-AZ266</f>
        <v>0</v>
      </c>
      <c r="BK266" s="418"/>
      <c r="BL266" s="623"/>
      <c r="BM266" s="624">
        <f>SUM(BM267)</f>
        <v>11.494</v>
      </c>
      <c r="BN266" s="175"/>
      <c r="BO266" s="455"/>
      <c r="BP266" s="625"/>
      <c r="BQ266" s="626"/>
      <c r="BR266" s="627"/>
      <c r="BS266" s="628"/>
      <c r="BT266" s="625"/>
      <c r="BU266" s="626"/>
      <c r="BV266" s="627"/>
      <c r="BW266" s="628"/>
      <c r="BX266" s="629"/>
      <c r="BY266" s="630"/>
      <c r="BZ266" s="631">
        <f>SUM(BZ267)</f>
        <v>22.984000000000002</v>
      </c>
      <c r="CA266" s="632"/>
      <c r="CB266" s="633"/>
      <c r="CC266" s="93">
        <f>BZ266-E266</f>
        <v>22.984000000000002</v>
      </c>
      <c r="CD266" s="634"/>
      <c r="CE266" s="635"/>
      <c r="CF266" s="636">
        <f>SUM(CF267)</f>
        <v>137.91999999999999</v>
      </c>
      <c r="CG266" s="465"/>
      <c r="CH266" s="465"/>
      <c r="CI266" s="465"/>
      <c r="CJ266" s="465"/>
      <c r="CK266" s="465"/>
      <c r="CL266" s="465"/>
      <c r="CM266" s="466"/>
      <c r="CN266" s="466"/>
      <c r="CO266" s="466"/>
      <c r="CP266" s="466"/>
      <c r="CQ266" s="466"/>
      <c r="CR266" s="466"/>
      <c r="CS266" s="466"/>
      <c r="CT266" s="466"/>
      <c r="CU266" s="466"/>
      <c r="CV266" s="466"/>
      <c r="CW266" s="466"/>
      <c r="CX266" s="466"/>
      <c r="CY266" s="466"/>
      <c r="CZ266" s="466"/>
      <c r="DA266" s="167"/>
      <c r="DB266" s="167"/>
      <c r="DC266" s="173"/>
      <c r="DD266" s="173"/>
      <c r="DE266" s="173"/>
      <c r="DF266" s="173"/>
      <c r="DG266" s="180"/>
      <c r="DI266" s="826"/>
      <c r="DJ266" s="788"/>
    </row>
    <row r="267" spans="1:114" s="783" customFormat="1" hidden="1">
      <c r="A267" s="194"/>
      <c r="B267" s="195" t="s">
        <v>27</v>
      </c>
      <c r="C267" s="840" t="s">
        <v>54</v>
      </c>
      <c r="D267" s="78"/>
      <c r="E267" s="78"/>
      <c r="F267" s="78"/>
      <c r="G267" s="78"/>
      <c r="H267" s="242"/>
      <c r="I267" s="242"/>
      <c r="J267" s="242"/>
      <c r="K267" s="242"/>
      <c r="L267" s="242"/>
      <c r="M267" s="134">
        <v>11.49</v>
      </c>
      <c r="N267" s="134"/>
      <c r="O267" s="134"/>
      <c r="P267" s="134"/>
      <c r="Q267" s="134"/>
      <c r="R267" s="134"/>
      <c r="S267" s="134"/>
      <c r="T267" s="134"/>
      <c r="U267" s="134"/>
      <c r="V267" s="134"/>
      <c r="W267" s="134">
        <v>11.49</v>
      </c>
      <c r="X267" s="242"/>
      <c r="Y267" s="155"/>
      <c r="Z267" s="242"/>
      <c r="AA267" s="134">
        <v>11.494</v>
      </c>
      <c r="AB267" s="134"/>
      <c r="AC267" s="134"/>
      <c r="AD267" s="134"/>
      <c r="AE267" s="134"/>
      <c r="AF267" s="134"/>
      <c r="AG267" s="134"/>
      <c r="AH267" s="134"/>
      <c r="AI267" s="134"/>
      <c r="AJ267" s="242"/>
      <c r="AK267" s="156"/>
      <c r="AL267" s="242"/>
      <c r="AM267" s="134">
        <v>11.494</v>
      </c>
      <c r="AN267" s="134"/>
      <c r="AO267" s="134"/>
      <c r="AP267" s="134"/>
      <c r="AQ267" s="134"/>
      <c r="AR267" s="134"/>
      <c r="AS267" s="134"/>
      <c r="AT267" s="134"/>
      <c r="AU267" s="134"/>
      <c r="AV267" s="242"/>
      <c r="AW267" s="156"/>
      <c r="AX267" s="108"/>
      <c r="AY267" s="31"/>
      <c r="AZ267" s="109"/>
      <c r="BA267" s="62"/>
      <c r="BB267" s="62"/>
      <c r="BC267" s="62"/>
      <c r="BD267" s="62"/>
      <c r="BE267" s="110"/>
      <c r="BF267" s="109">
        <v>17.399999999999999</v>
      </c>
      <c r="BG267" s="62"/>
      <c r="BH267" s="62">
        <f>AY267-BF267</f>
        <v>-17.399999999999999</v>
      </c>
      <c r="BI267" s="110"/>
      <c r="BJ267" s="426">
        <f t="shared" si="149"/>
        <v>0</v>
      </c>
      <c r="BK267" s="427"/>
      <c r="BL267" s="560"/>
      <c r="BM267" s="149">
        <v>11.494</v>
      </c>
      <c r="BN267" s="62"/>
      <c r="BO267" s="470"/>
      <c r="BP267" s="485"/>
      <c r="BQ267" s="483"/>
      <c r="BR267" s="486"/>
      <c r="BS267" s="487"/>
      <c r="BT267" s="485"/>
      <c r="BU267" s="483"/>
      <c r="BV267" s="486"/>
      <c r="BW267" s="487"/>
      <c r="BX267" s="440"/>
      <c r="BY267" s="488"/>
      <c r="BZ267" s="489">
        <f>M267+BM267+BQ267+BU267</f>
        <v>22.984000000000002</v>
      </c>
      <c r="CA267" s="490"/>
      <c r="CB267" s="491"/>
      <c r="CC267" s="72">
        <f>BZ267-E267</f>
        <v>22.984000000000002</v>
      </c>
      <c r="CD267" s="562"/>
      <c r="CE267" s="561"/>
      <c r="CF267" s="492">
        <v>137.91999999999999</v>
      </c>
      <c r="CG267" s="74"/>
      <c r="CH267" s="74"/>
      <c r="CI267" s="74"/>
      <c r="CJ267" s="74"/>
      <c r="CK267" s="74"/>
      <c r="CL267" s="74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31"/>
      <c r="DB267" s="31"/>
      <c r="DC267" s="78"/>
      <c r="DD267" s="78"/>
      <c r="DE267" s="78"/>
      <c r="DF267" s="78"/>
      <c r="DG267" s="134"/>
      <c r="DI267" s="826"/>
      <c r="DJ267" s="788"/>
    </row>
    <row r="268" spans="1:114" s="783" customFormat="1" hidden="1">
      <c r="A268" s="194" t="s">
        <v>143</v>
      </c>
      <c r="B268" s="199" t="s">
        <v>2</v>
      </c>
      <c r="C268" s="840" t="s">
        <v>54</v>
      </c>
      <c r="D268" s="179"/>
      <c r="E268" s="179"/>
      <c r="F268" s="179"/>
      <c r="G268" s="179"/>
      <c r="H268" s="283"/>
      <c r="I268" s="283"/>
      <c r="J268" s="283"/>
      <c r="K268" s="283"/>
      <c r="L268" s="283"/>
      <c r="M268" s="180">
        <f>M269+M272</f>
        <v>163.94254999999998</v>
      </c>
      <c r="N268" s="180"/>
      <c r="O268" s="180"/>
      <c r="P268" s="180"/>
      <c r="Q268" s="180"/>
      <c r="R268" s="180"/>
      <c r="S268" s="180"/>
      <c r="T268" s="180"/>
      <c r="U268" s="180"/>
      <c r="V268" s="180"/>
      <c r="W268" s="180">
        <f>W269+W272</f>
        <v>163.94</v>
      </c>
      <c r="X268" s="283"/>
      <c r="Y268" s="284"/>
      <c r="Z268" s="283"/>
      <c r="AA268" s="180">
        <f>AA269+AA272</f>
        <v>167.40074999999999</v>
      </c>
      <c r="AB268" s="180"/>
      <c r="AC268" s="180"/>
      <c r="AD268" s="180"/>
      <c r="AE268" s="180"/>
      <c r="AF268" s="180"/>
      <c r="AG268" s="180"/>
      <c r="AH268" s="180"/>
      <c r="AI268" s="180">
        <f>AI269+AI272</f>
        <v>0</v>
      </c>
      <c r="AJ268" s="283"/>
      <c r="AK268" s="285"/>
      <c r="AL268" s="283"/>
      <c r="AM268" s="180">
        <f>AM269+AM272</f>
        <v>167.40074999999999</v>
      </c>
      <c r="AN268" s="180"/>
      <c r="AO268" s="180"/>
      <c r="AP268" s="180"/>
      <c r="AQ268" s="180"/>
      <c r="AR268" s="180"/>
      <c r="AS268" s="180"/>
      <c r="AT268" s="180"/>
      <c r="AU268" s="180">
        <f>AU269+AU272</f>
        <v>0</v>
      </c>
      <c r="AV268" s="283"/>
      <c r="AW268" s="285"/>
      <c r="AX268" s="108">
        <v>923.86</v>
      </c>
      <c r="AY268" s="179"/>
      <c r="AZ268" s="184"/>
      <c r="BA268" s="185"/>
      <c r="BB268" s="185"/>
      <c r="BC268" s="185"/>
      <c r="BD268" s="185"/>
      <c r="BE268" s="186"/>
      <c r="BF268" s="184">
        <f>BF269+BF272</f>
        <v>239.85414</v>
      </c>
      <c r="BG268" s="185"/>
      <c r="BH268" s="185">
        <f>BH269+BH272</f>
        <v>-239.85414</v>
      </c>
      <c r="BI268" s="186"/>
      <c r="BJ268" s="426">
        <f t="shared" si="149"/>
        <v>0</v>
      </c>
      <c r="BK268" s="427"/>
      <c r="BL268" s="637"/>
      <c r="BM268" s="204">
        <f>BM269+BM272</f>
        <v>167.40074999999999</v>
      </c>
      <c r="BN268" s="185"/>
      <c r="BO268" s="470"/>
      <c r="BP268" s="496"/>
      <c r="BQ268" s="495"/>
      <c r="BR268" s="497"/>
      <c r="BS268" s="498"/>
      <c r="BT268" s="496"/>
      <c r="BU268" s="495"/>
      <c r="BV268" s="497"/>
      <c r="BW268" s="498"/>
      <c r="BX268" s="499"/>
      <c r="BY268" s="500"/>
      <c r="BZ268" s="501">
        <f>SUM(BZ269:BZ272)</f>
        <v>331.34329999999994</v>
      </c>
      <c r="CA268" s="502"/>
      <c r="CB268" s="503"/>
      <c r="CC268" s="72">
        <f>BZ268-E268</f>
        <v>331.34329999999994</v>
      </c>
      <c r="CD268" s="638"/>
      <c r="CE268" s="639">
        <f>SUM(CE269:CE272)</f>
        <v>21.65</v>
      </c>
      <c r="CF268" s="505">
        <f>SUM(CF269:CF272)</f>
        <v>309.69329999999997</v>
      </c>
      <c r="CG268" s="465"/>
      <c r="CH268" s="465"/>
      <c r="CI268" s="465"/>
      <c r="CJ268" s="465"/>
      <c r="CK268" s="465"/>
      <c r="CL268" s="465"/>
      <c r="CM268" s="466"/>
      <c r="CN268" s="466"/>
      <c r="CO268" s="466"/>
      <c r="CP268" s="466"/>
      <c r="CQ268" s="466"/>
      <c r="CR268" s="466"/>
      <c r="CS268" s="466"/>
      <c r="CT268" s="466"/>
      <c r="CU268" s="466"/>
      <c r="CV268" s="466"/>
      <c r="CW268" s="466"/>
      <c r="CX268" s="466"/>
      <c r="CY268" s="466"/>
      <c r="CZ268" s="466"/>
      <c r="DA268" s="179"/>
      <c r="DB268" s="179"/>
      <c r="DC268" s="179"/>
      <c r="DD268" s="179"/>
      <c r="DE268" s="179"/>
      <c r="DF268" s="179"/>
      <c r="DG268" s="180"/>
      <c r="DI268" s="826"/>
      <c r="DJ268" s="788"/>
    </row>
    <row r="269" spans="1:114" s="783" customFormat="1" hidden="1">
      <c r="A269" s="194"/>
      <c r="B269" s="195" t="s">
        <v>3</v>
      </c>
      <c r="C269" s="840" t="s">
        <v>54</v>
      </c>
      <c r="D269" s="31"/>
      <c r="E269" s="31"/>
      <c r="F269" s="31"/>
      <c r="G269" s="31"/>
      <c r="H269" s="242"/>
      <c r="I269" s="242"/>
      <c r="J269" s="242"/>
      <c r="K269" s="242"/>
      <c r="L269" s="242"/>
      <c r="M269" s="134">
        <v>136.27811</v>
      </c>
      <c r="N269" s="134"/>
      <c r="O269" s="134"/>
      <c r="P269" s="134"/>
      <c r="Q269" s="134"/>
      <c r="R269" s="134"/>
      <c r="S269" s="134"/>
      <c r="T269" s="134"/>
      <c r="U269" s="134"/>
      <c r="V269" s="134"/>
      <c r="W269" s="134">
        <v>136.28</v>
      </c>
      <c r="X269" s="242"/>
      <c r="Y269" s="155"/>
      <c r="Z269" s="242"/>
      <c r="AA269" s="134">
        <v>139.15273999999999</v>
      </c>
      <c r="AB269" s="134"/>
      <c r="AC269" s="134"/>
      <c r="AD269" s="134"/>
      <c r="AE269" s="134"/>
      <c r="AF269" s="134"/>
      <c r="AG269" s="134"/>
      <c r="AH269" s="134"/>
      <c r="AI269" s="134"/>
      <c r="AJ269" s="242"/>
      <c r="AK269" s="156"/>
      <c r="AL269" s="242"/>
      <c r="AM269" s="134">
        <v>139.15273999999999</v>
      </c>
      <c r="AN269" s="134"/>
      <c r="AO269" s="134"/>
      <c r="AP269" s="134"/>
      <c r="AQ269" s="134"/>
      <c r="AR269" s="134"/>
      <c r="AS269" s="134"/>
      <c r="AT269" s="134"/>
      <c r="AU269" s="134"/>
      <c r="AV269" s="242"/>
      <c r="AW269" s="156"/>
      <c r="AX269" s="108"/>
      <c r="AY269" s="31"/>
      <c r="AZ269" s="109"/>
      <c r="BA269" s="62"/>
      <c r="BB269" s="62"/>
      <c r="BC269" s="62"/>
      <c r="BD269" s="62"/>
      <c r="BE269" s="110"/>
      <c r="BF269" s="109">
        <v>199.38</v>
      </c>
      <c r="BG269" s="62"/>
      <c r="BH269" s="62">
        <f>AY269-BF269</f>
        <v>-199.38</v>
      </c>
      <c r="BI269" s="110"/>
      <c r="BJ269" s="426">
        <f t="shared" si="149"/>
        <v>0</v>
      </c>
      <c r="BK269" s="427"/>
      <c r="BL269" s="560"/>
      <c r="BM269" s="149">
        <v>139.15273999999999</v>
      </c>
      <c r="BN269" s="62"/>
      <c r="BO269" s="470"/>
      <c r="BP269" s="485"/>
      <c r="BQ269" s="483"/>
      <c r="BR269" s="486"/>
      <c r="BS269" s="487"/>
      <c r="BT269" s="485"/>
      <c r="BU269" s="483"/>
      <c r="BV269" s="486"/>
      <c r="BW269" s="487"/>
      <c r="BX269" s="440"/>
      <c r="BY269" s="488"/>
      <c r="BZ269" s="489">
        <f>M269+BM269+BQ269+BU269</f>
        <v>275.43084999999996</v>
      </c>
      <c r="CA269" s="490"/>
      <c r="CB269" s="491"/>
      <c r="CC269" s="72">
        <f>BZ269-E269</f>
        <v>275.43084999999996</v>
      </c>
      <c r="CD269" s="434"/>
      <c r="CE269" s="561">
        <v>18</v>
      </c>
      <c r="CF269" s="492">
        <f>BZ269-CE269</f>
        <v>257.43084999999996</v>
      </c>
      <c r="CG269" s="74"/>
      <c r="CH269" s="74"/>
      <c r="CI269" s="74"/>
      <c r="CJ269" s="74"/>
      <c r="CK269" s="74"/>
      <c r="CL269" s="74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31"/>
      <c r="DB269" s="31"/>
      <c r="DC269" s="31"/>
      <c r="DD269" s="31"/>
      <c r="DE269" s="31"/>
      <c r="DF269" s="31"/>
      <c r="DG269" s="134"/>
      <c r="DI269" s="826"/>
      <c r="DJ269" s="788"/>
    </row>
    <row r="270" spans="1:114" s="783" customFormat="1" hidden="1">
      <c r="A270" s="194"/>
      <c r="B270" s="190" t="s">
        <v>38</v>
      </c>
      <c r="C270" s="840" t="s">
        <v>82</v>
      </c>
      <c r="D270" s="31"/>
      <c r="E270" s="31"/>
      <c r="F270" s="31"/>
      <c r="G270" s="31"/>
      <c r="H270" s="242"/>
      <c r="I270" s="242"/>
      <c r="J270" s="242"/>
      <c r="K270" s="242"/>
      <c r="L270" s="242"/>
      <c r="M270" s="134">
        <v>4</v>
      </c>
      <c r="N270" s="134"/>
      <c r="O270" s="134"/>
      <c r="P270" s="134"/>
      <c r="Q270" s="134"/>
      <c r="R270" s="134"/>
      <c r="S270" s="134"/>
      <c r="T270" s="134"/>
      <c r="U270" s="134"/>
      <c r="V270" s="134"/>
      <c r="W270" s="134">
        <v>4</v>
      </c>
      <c r="X270" s="242"/>
      <c r="Y270" s="155"/>
      <c r="Z270" s="242"/>
      <c r="AA270" s="134">
        <v>5.5</v>
      </c>
      <c r="AB270" s="134"/>
      <c r="AC270" s="134"/>
      <c r="AD270" s="134"/>
      <c r="AE270" s="134"/>
      <c r="AF270" s="134"/>
      <c r="AG270" s="134"/>
      <c r="AH270" s="134"/>
      <c r="AI270" s="134"/>
      <c r="AJ270" s="242"/>
      <c r="AK270" s="156"/>
      <c r="AL270" s="242"/>
      <c r="AM270" s="134">
        <v>5.5</v>
      </c>
      <c r="AN270" s="134"/>
      <c r="AO270" s="134"/>
      <c r="AP270" s="134"/>
      <c r="AQ270" s="134"/>
      <c r="AR270" s="134"/>
      <c r="AS270" s="134"/>
      <c r="AT270" s="134"/>
      <c r="AU270" s="134"/>
      <c r="AV270" s="242"/>
      <c r="AW270" s="156"/>
      <c r="AX270" s="108"/>
      <c r="AY270" s="31"/>
      <c r="AZ270" s="109"/>
      <c r="BA270" s="62"/>
      <c r="BB270" s="62"/>
      <c r="BC270" s="62"/>
      <c r="BD270" s="62"/>
      <c r="BE270" s="110"/>
      <c r="BF270" s="109"/>
      <c r="BG270" s="62"/>
      <c r="BH270" s="62"/>
      <c r="BI270" s="110"/>
      <c r="BJ270" s="426">
        <f t="shared" si="149"/>
        <v>0</v>
      </c>
      <c r="BK270" s="427"/>
      <c r="BL270" s="560"/>
      <c r="BM270" s="149">
        <v>5.5</v>
      </c>
      <c r="BN270" s="62"/>
      <c r="BO270" s="470"/>
      <c r="BP270" s="485"/>
      <c r="BQ270" s="483"/>
      <c r="BR270" s="486"/>
      <c r="BS270" s="487"/>
      <c r="BT270" s="485"/>
      <c r="BU270" s="483"/>
      <c r="BV270" s="486"/>
      <c r="BW270" s="487"/>
      <c r="BX270" s="440"/>
      <c r="BY270" s="488"/>
      <c r="BZ270" s="489"/>
      <c r="CA270" s="490"/>
      <c r="CB270" s="491"/>
      <c r="CC270" s="72"/>
      <c r="CD270" s="434"/>
      <c r="CE270" s="561"/>
      <c r="CF270" s="492"/>
      <c r="CG270" s="74"/>
      <c r="CH270" s="74"/>
      <c r="CI270" s="74"/>
      <c r="CJ270" s="74"/>
      <c r="CK270" s="74"/>
      <c r="CL270" s="74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  <c r="CZ270" s="75"/>
      <c r="DA270" s="31"/>
      <c r="DB270" s="31"/>
      <c r="DC270" s="31"/>
      <c r="DD270" s="31"/>
      <c r="DE270" s="31"/>
      <c r="DF270" s="31"/>
      <c r="DG270" s="134"/>
      <c r="DI270" s="826"/>
      <c r="DJ270" s="788"/>
    </row>
    <row r="271" spans="1:114" s="783" customFormat="1" hidden="1">
      <c r="A271" s="194"/>
      <c r="B271" s="190" t="s">
        <v>39</v>
      </c>
      <c r="C271" s="840" t="s">
        <v>83</v>
      </c>
      <c r="D271" s="31"/>
      <c r="E271" s="31"/>
      <c r="F271" s="31"/>
      <c r="G271" s="31"/>
      <c r="H271" s="242"/>
      <c r="I271" s="242"/>
      <c r="J271" s="242"/>
      <c r="K271" s="242"/>
      <c r="L271" s="242"/>
      <c r="M271" s="134">
        <f>M269/M270*1000</f>
        <v>34069.527499999997</v>
      </c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242"/>
      <c r="Y271" s="155"/>
      <c r="Z271" s="242"/>
      <c r="AA271" s="134">
        <f>AA269/AA270*1000</f>
        <v>25300.49818181818</v>
      </c>
      <c r="AB271" s="134"/>
      <c r="AC271" s="134"/>
      <c r="AD271" s="134"/>
      <c r="AE271" s="134"/>
      <c r="AF271" s="134"/>
      <c r="AG271" s="134"/>
      <c r="AH271" s="134"/>
      <c r="AI271" s="134"/>
      <c r="AJ271" s="242"/>
      <c r="AK271" s="156"/>
      <c r="AL271" s="242"/>
      <c r="AM271" s="134">
        <f>AM269/AM270*1000</f>
        <v>25300.49818181818</v>
      </c>
      <c r="AN271" s="134"/>
      <c r="AO271" s="134"/>
      <c r="AP271" s="134"/>
      <c r="AQ271" s="134"/>
      <c r="AR271" s="134"/>
      <c r="AS271" s="134"/>
      <c r="AT271" s="134"/>
      <c r="AU271" s="134"/>
      <c r="AV271" s="242"/>
      <c r="AW271" s="156"/>
      <c r="AX271" s="108"/>
      <c r="AY271" s="31"/>
      <c r="AZ271" s="109"/>
      <c r="BA271" s="62"/>
      <c r="BB271" s="62"/>
      <c r="BC271" s="62"/>
      <c r="BD271" s="62"/>
      <c r="BE271" s="110"/>
      <c r="BF271" s="109"/>
      <c r="BG271" s="62"/>
      <c r="BH271" s="62"/>
      <c r="BI271" s="110"/>
      <c r="BJ271" s="426">
        <f t="shared" si="149"/>
        <v>0</v>
      </c>
      <c r="BK271" s="427"/>
      <c r="BL271" s="560"/>
      <c r="BM271" s="149">
        <f>BM269/BM270*1000</f>
        <v>25300.49818181818</v>
      </c>
      <c r="BN271" s="62"/>
      <c r="BO271" s="470"/>
      <c r="BP271" s="485"/>
      <c r="BQ271" s="483"/>
      <c r="BR271" s="486"/>
      <c r="BS271" s="487"/>
      <c r="BT271" s="485"/>
      <c r="BU271" s="483"/>
      <c r="BV271" s="486"/>
      <c r="BW271" s="487"/>
      <c r="BX271" s="440"/>
      <c r="BY271" s="488"/>
      <c r="BZ271" s="489"/>
      <c r="CA271" s="490"/>
      <c r="CB271" s="491"/>
      <c r="CC271" s="72"/>
      <c r="CD271" s="434"/>
      <c r="CE271" s="561"/>
      <c r="CF271" s="492"/>
      <c r="CG271" s="74"/>
      <c r="CH271" s="74"/>
      <c r="CI271" s="74"/>
      <c r="CJ271" s="74"/>
      <c r="CK271" s="74"/>
      <c r="CL271" s="74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31"/>
      <c r="DB271" s="31"/>
      <c r="DC271" s="31"/>
      <c r="DD271" s="31"/>
      <c r="DE271" s="31"/>
      <c r="DF271" s="31"/>
      <c r="DG271" s="134"/>
      <c r="DI271" s="826"/>
      <c r="DJ271" s="788"/>
    </row>
    <row r="272" spans="1:114" s="783" customFormat="1" hidden="1">
      <c r="A272" s="194"/>
      <c r="B272" s="187" t="s">
        <v>92</v>
      </c>
      <c r="C272" s="840" t="s">
        <v>54</v>
      </c>
      <c r="D272" s="31"/>
      <c r="E272" s="31"/>
      <c r="F272" s="31"/>
      <c r="G272" s="31"/>
      <c r="H272" s="242"/>
      <c r="I272" s="242"/>
      <c r="J272" s="242"/>
      <c r="K272" s="242"/>
      <c r="L272" s="242"/>
      <c r="M272" s="134">
        <v>27.664439999999999</v>
      </c>
      <c r="N272" s="134"/>
      <c r="O272" s="134"/>
      <c r="P272" s="134"/>
      <c r="Q272" s="134"/>
      <c r="R272" s="134"/>
      <c r="S272" s="134"/>
      <c r="T272" s="134"/>
      <c r="U272" s="134"/>
      <c r="V272" s="134"/>
      <c r="W272" s="134">
        <v>27.66</v>
      </c>
      <c r="X272" s="242"/>
      <c r="Y272" s="155"/>
      <c r="Z272" s="242"/>
      <c r="AA272" s="134">
        <v>28.248010000000001</v>
      </c>
      <c r="AB272" s="134"/>
      <c r="AC272" s="134"/>
      <c r="AD272" s="134"/>
      <c r="AE272" s="134"/>
      <c r="AF272" s="134"/>
      <c r="AG272" s="134"/>
      <c r="AH272" s="134"/>
      <c r="AI272" s="134"/>
      <c r="AJ272" s="242"/>
      <c r="AK272" s="156"/>
      <c r="AL272" s="242"/>
      <c r="AM272" s="134">
        <v>28.248010000000001</v>
      </c>
      <c r="AN272" s="134"/>
      <c r="AO272" s="134"/>
      <c r="AP272" s="134"/>
      <c r="AQ272" s="134"/>
      <c r="AR272" s="134"/>
      <c r="AS272" s="134"/>
      <c r="AT272" s="134"/>
      <c r="AU272" s="134"/>
      <c r="AV272" s="242"/>
      <c r="AW272" s="156"/>
      <c r="AX272" s="108"/>
      <c r="AY272" s="31"/>
      <c r="AZ272" s="109"/>
      <c r="BA272" s="62"/>
      <c r="BB272" s="62"/>
      <c r="BC272" s="62"/>
      <c r="BD272" s="62"/>
      <c r="BE272" s="110"/>
      <c r="BF272" s="109">
        <f>BF269*20.3/100</f>
        <v>40.474140000000006</v>
      </c>
      <c r="BG272" s="62"/>
      <c r="BH272" s="62">
        <f>AY272-BF272</f>
        <v>-40.474140000000006</v>
      </c>
      <c r="BI272" s="110"/>
      <c r="BJ272" s="426">
        <f t="shared" si="149"/>
        <v>0</v>
      </c>
      <c r="BK272" s="427"/>
      <c r="BL272" s="560"/>
      <c r="BM272" s="149">
        <v>28.248010000000001</v>
      </c>
      <c r="BN272" s="62"/>
      <c r="BO272" s="470"/>
      <c r="BP272" s="485"/>
      <c r="BQ272" s="483"/>
      <c r="BR272" s="486"/>
      <c r="BS272" s="487"/>
      <c r="BT272" s="485"/>
      <c r="BU272" s="483"/>
      <c r="BV272" s="486"/>
      <c r="BW272" s="487"/>
      <c r="BX272" s="440"/>
      <c r="BY272" s="488"/>
      <c r="BZ272" s="489">
        <f>M272+BM272+BQ272+BU272</f>
        <v>55.91245</v>
      </c>
      <c r="CA272" s="490"/>
      <c r="CB272" s="491"/>
      <c r="CC272" s="72">
        <f t="shared" ref="CC272:CC298" si="150">BZ272-E272</f>
        <v>55.91245</v>
      </c>
      <c r="CD272" s="434"/>
      <c r="CE272" s="561">
        <v>3.65</v>
      </c>
      <c r="CF272" s="492">
        <f>BZ272-CE272</f>
        <v>52.262450000000001</v>
      </c>
      <c r="CG272" s="74"/>
      <c r="CH272" s="74"/>
      <c r="CI272" s="74"/>
      <c r="CJ272" s="74"/>
      <c r="CK272" s="74"/>
      <c r="CL272" s="74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31"/>
      <c r="DB272" s="31"/>
      <c r="DC272" s="31"/>
      <c r="DD272" s="31"/>
      <c r="DE272" s="31"/>
      <c r="DF272" s="31"/>
      <c r="DG272" s="134"/>
      <c r="DI272" s="826"/>
      <c r="DJ272" s="788"/>
    </row>
    <row r="273" spans="1:114" s="783" customFormat="1" hidden="1">
      <c r="A273" s="194" t="s">
        <v>144</v>
      </c>
      <c r="B273" s="199" t="s">
        <v>96</v>
      </c>
      <c r="C273" s="840" t="s">
        <v>54</v>
      </c>
      <c r="D273" s="179"/>
      <c r="E273" s="179"/>
      <c r="F273" s="179"/>
      <c r="G273" s="179"/>
      <c r="H273" s="242"/>
      <c r="I273" s="242"/>
      <c r="J273" s="242"/>
      <c r="K273" s="242"/>
      <c r="L273" s="242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242"/>
      <c r="Y273" s="155"/>
      <c r="Z273" s="242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242"/>
      <c r="AK273" s="156"/>
      <c r="AL273" s="242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242"/>
      <c r="AW273" s="156"/>
      <c r="AX273" s="108">
        <v>18.32</v>
      </c>
      <c r="AY273" s="179"/>
      <c r="AZ273" s="109"/>
      <c r="BA273" s="62"/>
      <c r="BB273" s="62"/>
      <c r="BC273" s="62"/>
      <c r="BD273" s="62"/>
      <c r="BE273" s="110"/>
      <c r="BF273" s="109"/>
      <c r="BG273" s="62"/>
      <c r="BH273" s="185">
        <f>SUM(BH274:BH275)</f>
        <v>0</v>
      </c>
      <c r="BI273" s="110"/>
      <c r="BJ273" s="426"/>
      <c r="BK273" s="427"/>
      <c r="BL273" s="560"/>
      <c r="BM273" s="149"/>
      <c r="BN273" s="62"/>
      <c r="BO273" s="470"/>
      <c r="BP273" s="485"/>
      <c r="BQ273" s="483"/>
      <c r="BR273" s="486"/>
      <c r="BS273" s="487"/>
      <c r="BT273" s="485"/>
      <c r="BU273" s="483"/>
      <c r="BV273" s="486"/>
      <c r="BW273" s="487"/>
      <c r="BX273" s="440"/>
      <c r="BY273" s="488"/>
      <c r="BZ273" s="489"/>
      <c r="CA273" s="490"/>
      <c r="CB273" s="491"/>
      <c r="CC273" s="72"/>
      <c r="CD273" s="434"/>
      <c r="CE273" s="561"/>
      <c r="CF273" s="492"/>
      <c r="CG273" s="74"/>
      <c r="CH273" s="74"/>
      <c r="CI273" s="74"/>
      <c r="CJ273" s="74"/>
      <c r="CK273" s="74"/>
      <c r="CL273" s="74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179"/>
      <c r="DB273" s="179"/>
      <c r="DC273" s="179"/>
      <c r="DD273" s="179"/>
      <c r="DE273" s="179"/>
      <c r="DF273" s="179"/>
      <c r="DG273" s="180"/>
      <c r="DI273" s="826"/>
      <c r="DJ273" s="788"/>
    </row>
    <row r="274" spans="1:114" s="783" customFormat="1" hidden="1">
      <c r="A274" s="194"/>
      <c r="B274" s="195" t="s">
        <v>121</v>
      </c>
      <c r="C274" s="840" t="s">
        <v>54</v>
      </c>
      <c r="D274" s="31"/>
      <c r="E274" s="31"/>
      <c r="F274" s="31"/>
      <c r="G274" s="31"/>
      <c r="H274" s="242"/>
      <c r="I274" s="242"/>
      <c r="J274" s="242"/>
      <c r="K274" s="242"/>
      <c r="L274" s="242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242"/>
      <c r="Y274" s="155"/>
      <c r="Z274" s="242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242"/>
      <c r="AK274" s="156"/>
      <c r="AL274" s="242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242"/>
      <c r="AW274" s="156"/>
      <c r="AX274" s="108"/>
      <c r="AY274" s="31"/>
      <c r="AZ274" s="109"/>
      <c r="BA274" s="62"/>
      <c r="BB274" s="62"/>
      <c r="BC274" s="62"/>
      <c r="BD274" s="62"/>
      <c r="BE274" s="110"/>
      <c r="BF274" s="109"/>
      <c r="BG274" s="62"/>
      <c r="BH274" s="62">
        <f>AY274</f>
        <v>0</v>
      </c>
      <c r="BI274" s="110"/>
      <c r="BJ274" s="426"/>
      <c r="BK274" s="427"/>
      <c r="BL274" s="560"/>
      <c r="BM274" s="149"/>
      <c r="BN274" s="62"/>
      <c r="BO274" s="470"/>
      <c r="BP274" s="485"/>
      <c r="BQ274" s="483"/>
      <c r="BR274" s="486"/>
      <c r="BS274" s="487"/>
      <c r="BT274" s="485"/>
      <c r="BU274" s="483"/>
      <c r="BV274" s="486"/>
      <c r="BW274" s="487"/>
      <c r="BX274" s="440"/>
      <c r="BY274" s="488"/>
      <c r="BZ274" s="489"/>
      <c r="CA274" s="490"/>
      <c r="CB274" s="491"/>
      <c r="CC274" s="72"/>
      <c r="CD274" s="434"/>
      <c r="CE274" s="561"/>
      <c r="CF274" s="492"/>
      <c r="CG274" s="74"/>
      <c r="CH274" s="74"/>
      <c r="CI274" s="74"/>
      <c r="CJ274" s="74"/>
      <c r="CK274" s="74"/>
      <c r="CL274" s="74"/>
      <c r="CM274" s="75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75"/>
      <c r="CZ274" s="75"/>
      <c r="DA274" s="31"/>
      <c r="DB274" s="31"/>
      <c r="DC274" s="31"/>
      <c r="DD274" s="31"/>
      <c r="DE274" s="31"/>
      <c r="DF274" s="31"/>
      <c r="DG274" s="134"/>
      <c r="DI274" s="826"/>
      <c r="DJ274" s="788"/>
    </row>
    <row r="275" spans="1:114" s="783" customFormat="1" hidden="1">
      <c r="A275" s="194"/>
      <c r="B275" s="195" t="s">
        <v>122</v>
      </c>
      <c r="C275" s="840" t="s">
        <v>54</v>
      </c>
      <c r="D275" s="31"/>
      <c r="E275" s="31"/>
      <c r="F275" s="31"/>
      <c r="G275" s="31"/>
      <c r="H275" s="242"/>
      <c r="I275" s="242"/>
      <c r="J275" s="242"/>
      <c r="K275" s="242"/>
      <c r="L275" s="242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242"/>
      <c r="Y275" s="155"/>
      <c r="Z275" s="242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242"/>
      <c r="AK275" s="156"/>
      <c r="AL275" s="242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242"/>
      <c r="AW275" s="156"/>
      <c r="AX275" s="108"/>
      <c r="AY275" s="31"/>
      <c r="AZ275" s="109"/>
      <c r="BA275" s="62"/>
      <c r="BB275" s="62"/>
      <c r="BC275" s="62"/>
      <c r="BD275" s="62"/>
      <c r="BE275" s="110"/>
      <c r="BF275" s="109"/>
      <c r="BG275" s="62"/>
      <c r="BH275" s="62"/>
      <c r="BI275" s="110"/>
      <c r="BJ275" s="426"/>
      <c r="BK275" s="427"/>
      <c r="BL275" s="560"/>
      <c r="BM275" s="149"/>
      <c r="BN275" s="62"/>
      <c r="BO275" s="470"/>
      <c r="BP275" s="485"/>
      <c r="BQ275" s="483"/>
      <c r="BR275" s="486"/>
      <c r="BS275" s="487"/>
      <c r="BT275" s="485"/>
      <c r="BU275" s="483"/>
      <c r="BV275" s="486"/>
      <c r="BW275" s="487"/>
      <c r="BX275" s="440"/>
      <c r="BY275" s="488"/>
      <c r="BZ275" s="489"/>
      <c r="CA275" s="490"/>
      <c r="CB275" s="491"/>
      <c r="CC275" s="72"/>
      <c r="CD275" s="434"/>
      <c r="CE275" s="561"/>
      <c r="CF275" s="492"/>
      <c r="CG275" s="74"/>
      <c r="CH275" s="74"/>
      <c r="CI275" s="74"/>
      <c r="CJ275" s="74"/>
      <c r="CK275" s="74"/>
      <c r="CL275" s="74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31"/>
      <c r="DB275" s="31"/>
      <c r="DC275" s="31"/>
      <c r="DD275" s="31"/>
      <c r="DE275" s="31"/>
      <c r="DF275" s="31"/>
      <c r="DG275" s="134"/>
      <c r="DI275" s="826"/>
      <c r="DJ275" s="788"/>
    </row>
    <row r="276" spans="1:114" s="783" customFormat="1" hidden="1">
      <c r="A276" s="194" t="s">
        <v>145</v>
      </c>
      <c r="B276" s="199" t="s">
        <v>6</v>
      </c>
      <c r="C276" s="840" t="s">
        <v>54</v>
      </c>
      <c r="D276" s="179"/>
      <c r="E276" s="179"/>
      <c r="F276" s="179"/>
      <c r="G276" s="179"/>
      <c r="H276" s="283"/>
      <c r="I276" s="283"/>
      <c r="J276" s="283"/>
      <c r="K276" s="283"/>
      <c r="L276" s="283"/>
      <c r="M276" s="180">
        <f>SUM(M277:M290)</f>
        <v>4</v>
      </c>
      <c r="N276" s="180"/>
      <c r="O276" s="180"/>
      <c r="P276" s="180"/>
      <c r="Q276" s="180"/>
      <c r="R276" s="180"/>
      <c r="S276" s="180"/>
      <c r="T276" s="180"/>
      <c r="U276" s="180"/>
      <c r="V276" s="180"/>
      <c r="W276" s="180">
        <f>SUM(W277:W290)</f>
        <v>4</v>
      </c>
      <c r="X276" s="283"/>
      <c r="Y276" s="284"/>
      <c r="Z276" s="283"/>
      <c r="AA276" s="180">
        <f>SUM(AA277:AA290)</f>
        <v>20.100749999999998</v>
      </c>
      <c r="AB276" s="180"/>
      <c r="AC276" s="180"/>
      <c r="AD276" s="180"/>
      <c r="AE276" s="180"/>
      <c r="AF276" s="180"/>
      <c r="AG276" s="180"/>
      <c r="AH276" s="180"/>
      <c r="AI276" s="180">
        <f>SUM(AI277:AI290)</f>
        <v>0</v>
      </c>
      <c r="AJ276" s="283"/>
      <c r="AK276" s="285"/>
      <c r="AL276" s="283"/>
      <c r="AM276" s="180">
        <f>SUM(AM277:AM290)</f>
        <v>20.100749999999998</v>
      </c>
      <c r="AN276" s="180"/>
      <c r="AO276" s="180"/>
      <c r="AP276" s="180"/>
      <c r="AQ276" s="180"/>
      <c r="AR276" s="180"/>
      <c r="AS276" s="180"/>
      <c r="AT276" s="180"/>
      <c r="AU276" s="180">
        <f>SUM(AU277:AU290)</f>
        <v>0</v>
      </c>
      <c r="AV276" s="283"/>
      <c r="AW276" s="285"/>
      <c r="AX276" s="108">
        <v>67.930000000000007</v>
      </c>
      <c r="AY276" s="179"/>
      <c r="AZ276" s="184"/>
      <c r="BA276" s="185"/>
      <c r="BB276" s="185"/>
      <c r="BC276" s="185"/>
      <c r="BD276" s="185"/>
      <c r="BE276" s="186"/>
      <c r="BF276" s="184">
        <f>SUM(BF277:BF290)</f>
        <v>0</v>
      </c>
      <c r="BG276" s="185"/>
      <c r="BH276" s="185">
        <f>SUM(BH277:BH290)</f>
        <v>9.9600000000000009</v>
      </c>
      <c r="BI276" s="186"/>
      <c r="BJ276" s="426">
        <f>BA276-AZ276</f>
        <v>0</v>
      </c>
      <c r="BK276" s="427"/>
      <c r="BL276" s="637"/>
      <c r="BM276" s="204">
        <f>SUM(BM277:BM290)</f>
        <v>20.100749999999998</v>
      </c>
      <c r="BN276" s="185"/>
      <c r="BO276" s="470"/>
      <c r="BP276" s="496"/>
      <c r="BQ276" s="495"/>
      <c r="BR276" s="497"/>
      <c r="BS276" s="498"/>
      <c r="BT276" s="496"/>
      <c r="BU276" s="495"/>
      <c r="BV276" s="497"/>
      <c r="BW276" s="498"/>
      <c r="BX276" s="499"/>
      <c r="BY276" s="500"/>
      <c r="BZ276" s="501">
        <f>SUM(BZ277:BZ290)</f>
        <v>24.100749999999998</v>
      </c>
      <c r="CA276" s="502"/>
      <c r="CB276" s="503"/>
      <c r="CC276" s="72">
        <f t="shared" si="150"/>
        <v>24.100749999999998</v>
      </c>
      <c r="CD276" s="638"/>
      <c r="CE276" s="639"/>
      <c r="CF276" s="505">
        <f>SUM(CF277:CF290)</f>
        <v>104.08</v>
      </c>
      <c r="CG276" s="465"/>
      <c r="CH276" s="465"/>
      <c r="CI276" s="465"/>
      <c r="CJ276" s="465"/>
      <c r="CK276" s="465"/>
      <c r="CL276" s="465"/>
      <c r="CM276" s="466"/>
      <c r="CN276" s="466"/>
      <c r="CO276" s="466"/>
      <c r="CP276" s="466"/>
      <c r="CQ276" s="466"/>
      <c r="CR276" s="466"/>
      <c r="CS276" s="466"/>
      <c r="CT276" s="466"/>
      <c r="CU276" s="466"/>
      <c r="CV276" s="466"/>
      <c r="CW276" s="466"/>
      <c r="CX276" s="466"/>
      <c r="CY276" s="466"/>
      <c r="CZ276" s="466"/>
      <c r="DA276" s="179"/>
      <c r="DB276" s="179"/>
      <c r="DC276" s="179"/>
      <c r="DD276" s="179"/>
      <c r="DE276" s="179"/>
      <c r="DF276" s="179"/>
      <c r="DG276" s="180"/>
      <c r="DI276" s="826"/>
      <c r="DJ276" s="788"/>
    </row>
    <row r="277" spans="1:114" s="783" customFormat="1" hidden="1">
      <c r="A277" s="194"/>
      <c r="B277" s="195" t="s">
        <v>7</v>
      </c>
      <c r="C277" s="840" t="s">
        <v>54</v>
      </c>
      <c r="D277" s="31"/>
      <c r="E277" s="31"/>
      <c r="F277" s="31"/>
      <c r="G277" s="31"/>
      <c r="H277" s="242"/>
      <c r="I277" s="242"/>
      <c r="J277" s="242"/>
      <c r="K277" s="242"/>
      <c r="L277" s="242"/>
      <c r="M277" s="134">
        <v>0.23</v>
      </c>
      <c r="N277" s="134"/>
      <c r="O277" s="134"/>
      <c r="P277" s="134"/>
      <c r="Q277" s="134"/>
      <c r="R277" s="134"/>
      <c r="S277" s="134"/>
      <c r="T277" s="134"/>
      <c r="U277" s="134"/>
      <c r="V277" s="134"/>
      <c r="W277" s="134">
        <v>0.23</v>
      </c>
      <c r="X277" s="242"/>
      <c r="Y277" s="155"/>
      <c r="Z277" s="242"/>
      <c r="AA277" s="134">
        <v>0.23674999999999999</v>
      </c>
      <c r="AB277" s="134"/>
      <c r="AC277" s="134"/>
      <c r="AD277" s="134"/>
      <c r="AE277" s="134"/>
      <c r="AF277" s="134"/>
      <c r="AG277" s="134"/>
      <c r="AH277" s="134"/>
      <c r="AI277" s="134"/>
      <c r="AJ277" s="242"/>
      <c r="AK277" s="156"/>
      <c r="AL277" s="242"/>
      <c r="AM277" s="134">
        <v>0.23674999999999999</v>
      </c>
      <c r="AN277" s="134"/>
      <c r="AO277" s="134"/>
      <c r="AP277" s="134"/>
      <c r="AQ277" s="134"/>
      <c r="AR277" s="134"/>
      <c r="AS277" s="134"/>
      <c r="AT277" s="134"/>
      <c r="AU277" s="134"/>
      <c r="AV277" s="242"/>
      <c r="AW277" s="156"/>
      <c r="AX277" s="108"/>
      <c r="AY277" s="31"/>
      <c r="AZ277" s="109"/>
      <c r="BA277" s="62"/>
      <c r="BB277" s="62"/>
      <c r="BC277" s="62"/>
      <c r="BD277" s="62"/>
      <c r="BE277" s="110"/>
      <c r="BF277" s="109"/>
      <c r="BG277" s="62"/>
      <c r="BH277" s="62">
        <f>AY277</f>
        <v>0</v>
      </c>
      <c r="BI277" s="110"/>
      <c r="BJ277" s="426">
        <f>BA277-AZ277</f>
        <v>0</v>
      </c>
      <c r="BK277" s="427"/>
      <c r="BL277" s="560"/>
      <c r="BM277" s="149">
        <v>0.23674999999999999</v>
      </c>
      <c r="BN277" s="62"/>
      <c r="BO277" s="470"/>
      <c r="BP277" s="485"/>
      <c r="BQ277" s="483"/>
      <c r="BR277" s="486"/>
      <c r="BS277" s="487"/>
      <c r="BT277" s="485"/>
      <c r="BU277" s="483"/>
      <c r="BV277" s="486"/>
      <c r="BW277" s="487"/>
      <c r="BX277" s="440"/>
      <c r="BY277" s="488"/>
      <c r="BZ277" s="489">
        <f t="shared" ref="BZ277:BZ290" si="151">M277+BM277+BQ277+BU277</f>
        <v>0.46675</v>
      </c>
      <c r="CA277" s="490"/>
      <c r="CB277" s="491"/>
      <c r="CC277" s="72">
        <f t="shared" si="150"/>
        <v>0.46675</v>
      </c>
      <c r="CD277" s="562"/>
      <c r="CE277" s="561"/>
      <c r="CF277" s="492">
        <v>2.96</v>
      </c>
      <c r="CG277" s="74"/>
      <c r="CH277" s="74"/>
      <c r="CI277" s="74"/>
      <c r="CJ277" s="74"/>
      <c r="CK277" s="74"/>
      <c r="CL277" s="74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31"/>
      <c r="DB277" s="31"/>
      <c r="DC277" s="31"/>
      <c r="DD277" s="31"/>
      <c r="DE277" s="31"/>
      <c r="DF277" s="31"/>
      <c r="DG277" s="134"/>
      <c r="DI277" s="826"/>
      <c r="DJ277" s="788"/>
    </row>
    <row r="278" spans="1:114" s="783" customFormat="1" hidden="1">
      <c r="A278" s="194"/>
      <c r="B278" s="195" t="s">
        <v>196</v>
      </c>
      <c r="C278" s="840"/>
      <c r="D278" s="31"/>
      <c r="E278" s="31"/>
      <c r="F278" s="31"/>
      <c r="G278" s="31"/>
      <c r="H278" s="242"/>
      <c r="I278" s="242"/>
      <c r="J278" s="242"/>
      <c r="K278" s="242"/>
      <c r="L278" s="242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242"/>
      <c r="Y278" s="155"/>
      <c r="Z278" s="242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242"/>
      <c r="AK278" s="156"/>
      <c r="AL278" s="242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242"/>
      <c r="AW278" s="156"/>
      <c r="AX278" s="108"/>
      <c r="AY278" s="31"/>
      <c r="AZ278" s="109"/>
      <c r="BA278" s="62"/>
      <c r="BB278" s="62"/>
      <c r="BC278" s="62"/>
      <c r="BD278" s="62"/>
      <c r="BE278" s="110"/>
      <c r="BF278" s="109"/>
      <c r="BG278" s="62"/>
      <c r="BH278" s="62">
        <f>AY278</f>
        <v>0</v>
      </c>
      <c r="BI278" s="110"/>
      <c r="BJ278" s="426"/>
      <c r="BK278" s="427"/>
      <c r="BL278" s="560"/>
      <c r="BM278" s="149"/>
      <c r="BN278" s="62"/>
      <c r="BO278" s="470"/>
      <c r="BP278" s="485"/>
      <c r="BQ278" s="483"/>
      <c r="BR278" s="486"/>
      <c r="BS278" s="487"/>
      <c r="BT278" s="485"/>
      <c r="BU278" s="483"/>
      <c r="BV278" s="486"/>
      <c r="BW278" s="487"/>
      <c r="BX278" s="440"/>
      <c r="BY278" s="488"/>
      <c r="BZ278" s="489"/>
      <c r="CA278" s="490"/>
      <c r="CB278" s="491"/>
      <c r="CC278" s="72"/>
      <c r="CD278" s="562"/>
      <c r="CE278" s="561"/>
      <c r="CF278" s="492"/>
      <c r="CG278" s="74"/>
      <c r="CH278" s="74"/>
      <c r="CI278" s="74"/>
      <c r="CJ278" s="74"/>
      <c r="CK278" s="74"/>
      <c r="CL278" s="74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  <c r="CZ278" s="75"/>
      <c r="DA278" s="31"/>
      <c r="DB278" s="31"/>
      <c r="DC278" s="31"/>
      <c r="DD278" s="31"/>
      <c r="DE278" s="31"/>
      <c r="DF278" s="31"/>
      <c r="DG278" s="134"/>
      <c r="DI278" s="826"/>
      <c r="DJ278" s="788"/>
    </row>
    <row r="279" spans="1:114" s="783" customFormat="1" hidden="1">
      <c r="A279" s="194"/>
      <c r="B279" s="195" t="s">
        <v>215</v>
      </c>
      <c r="C279" s="840"/>
      <c r="D279" s="31"/>
      <c r="E279" s="31"/>
      <c r="F279" s="31"/>
      <c r="G279" s="31"/>
      <c r="H279" s="242"/>
      <c r="I279" s="242"/>
      <c r="J279" s="242"/>
      <c r="K279" s="242"/>
      <c r="L279" s="242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242"/>
      <c r="Y279" s="155"/>
      <c r="Z279" s="242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242"/>
      <c r="AK279" s="156"/>
      <c r="AL279" s="242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242"/>
      <c r="AW279" s="156"/>
      <c r="AX279" s="108"/>
      <c r="AY279" s="31"/>
      <c r="AZ279" s="109"/>
      <c r="BA279" s="62"/>
      <c r="BB279" s="62"/>
      <c r="BC279" s="62"/>
      <c r="BD279" s="62"/>
      <c r="BE279" s="110"/>
      <c r="BF279" s="109"/>
      <c r="BG279" s="62"/>
      <c r="BH279" s="62">
        <v>2.96</v>
      </c>
      <c r="BI279" s="110"/>
      <c r="BJ279" s="426"/>
      <c r="BK279" s="427"/>
      <c r="BL279" s="560"/>
      <c r="BM279" s="149"/>
      <c r="BN279" s="62"/>
      <c r="BO279" s="470"/>
      <c r="BP279" s="485"/>
      <c r="BQ279" s="483"/>
      <c r="BR279" s="486"/>
      <c r="BS279" s="487"/>
      <c r="BT279" s="485"/>
      <c r="BU279" s="483"/>
      <c r="BV279" s="486"/>
      <c r="BW279" s="487"/>
      <c r="BX279" s="440"/>
      <c r="BY279" s="488"/>
      <c r="BZ279" s="489"/>
      <c r="CA279" s="490"/>
      <c r="CB279" s="491"/>
      <c r="CC279" s="72"/>
      <c r="CD279" s="562"/>
      <c r="CE279" s="561"/>
      <c r="CF279" s="492"/>
      <c r="CG279" s="74"/>
      <c r="CH279" s="74"/>
      <c r="CI279" s="74"/>
      <c r="CJ279" s="74"/>
      <c r="CK279" s="74"/>
      <c r="CL279" s="74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31"/>
      <c r="DB279" s="31"/>
      <c r="DC279" s="31"/>
      <c r="DD279" s="31"/>
      <c r="DE279" s="31"/>
      <c r="DF279" s="31"/>
      <c r="DG279" s="134"/>
      <c r="DI279" s="826"/>
      <c r="DJ279" s="788"/>
    </row>
    <row r="280" spans="1:114" s="783" customFormat="1" hidden="1">
      <c r="A280" s="194"/>
      <c r="B280" s="195" t="s">
        <v>79</v>
      </c>
      <c r="C280" s="840" t="s">
        <v>54</v>
      </c>
      <c r="D280" s="31"/>
      <c r="E280" s="31"/>
      <c r="F280" s="31"/>
      <c r="G280" s="31"/>
      <c r="H280" s="242"/>
      <c r="I280" s="242"/>
      <c r="J280" s="242"/>
      <c r="K280" s="242"/>
      <c r="L280" s="242"/>
      <c r="M280" s="134">
        <v>0.77</v>
      </c>
      <c r="N280" s="134"/>
      <c r="O280" s="134"/>
      <c r="P280" s="134"/>
      <c r="Q280" s="134"/>
      <c r="R280" s="134"/>
      <c r="S280" s="134"/>
      <c r="T280" s="134"/>
      <c r="U280" s="134"/>
      <c r="V280" s="134"/>
      <c r="W280" s="134">
        <v>0.77</v>
      </c>
      <c r="X280" s="242"/>
      <c r="Y280" s="155"/>
      <c r="Z280" s="242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242"/>
      <c r="AK280" s="156"/>
      <c r="AL280" s="242"/>
      <c r="AM280" s="134"/>
      <c r="AN280" s="134"/>
      <c r="AO280" s="134"/>
      <c r="AP280" s="134"/>
      <c r="AQ280" s="134"/>
      <c r="AR280" s="134"/>
      <c r="AS280" s="134"/>
      <c r="AT280" s="134"/>
      <c r="AU280" s="134"/>
      <c r="AV280" s="242"/>
      <c r="AW280" s="156"/>
      <c r="AX280" s="108"/>
      <c r="AY280" s="31"/>
      <c r="AZ280" s="109"/>
      <c r="BA280" s="62"/>
      <c r="BB280" s="62"/>
      <c r="BC280" s="62"/>
      <c r="BD280" s="62"/>
      <c r="BE280" s="110"/>
      <c r="BF280" s="109"/>
      <c r="BG280" s="62"/>
      <c r="BH280" s="62"/>
      <c r="BI280" s="110"/>
      <c r="BJ280" s="426">
        <f>BA280-AZ280</f>
        <v>0</v>
      </c>
      <c r="BK280" s="427"/>
      <c r="BL280" s="560"/>
      <c r="BM280" s="149"/>
      <c r="BN280" s="62"/>
      <c r="BO280" s="470"/>
      <c r="BP280" s="485"/>
      <c r="BQ280" s="483"/>
      <c r="BR280" s="486"/>
      <c r="BS280" s="487"/>
      <c r="BT280" s="485"/>
      <c r="BU280" s="483"/>
      <c r="BV280" s="486"/>
      <c r="BW280" s="487"/>
      <c r="BX280" s="440"/>
      <c r="BY280" s="488"/>
      <c r="BZ280" s="489">
        <f t="shared" si="151"/>
        <v>0.77</v>
      </c>
      <c r="CA280" s="490"/>
      <c r="CB280" s="491"/>
      <c r="CC280" s="72">
        <f t="shared" si="150"/>
        <v>0.77</v>
      </c>
      <c r="CD280" s="562"/>
      <c r="CE280" s="561"/>
      <c r="CF280" s="492">
        <v>7.28</v>
      </c>
      <c r="CG280" s="74"/>
      <c r="CH280" s="74"/>
      <c r="CI280" s="74"/>
      <c r="CJ280" s="74"/>
      <c r="CK280" s="74"/>
      <c r="CL280" s="74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31"/>
      <c r="DB280" s="31"/>
      <c r="DC280" s="31"/>
      <c r="DD280" s="31"/>
      <c r="DE280" s="31"/>
      <c r="DF280" s="31"/>
      <c r="DG280" s="134"/>
      <c r="DI280" s="826"/>
      <c r="DJ280" s="788"/>
    </row>
    <row r="281" spans="1:114" s="783" customFormat="1" hidden="1">
      <c r="A281" s="194"/>
      <c r="B281" s="195" t="s">
        <v>10</v>
      </c>
      <c r="C281" s="840" t="s">
        <v>54</v>
      </c>
      <c r="D281" s="31"/>
      <c r="E281" s="31"/>
      <c r="F281" s="31"/>
      <c r="G281" s="31"/>
      <c r="H281" s="242"/>
      <c r="I281" s="242"/>
      <c r="J281" s="242"/>
      <c r="K281" s="242"/>
      <c r="L281" s="242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242"/>
      <c r="Y281" s="155"/>
      <c r="Z281" s="242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242"/>
      <c r="AK281" s="156"/>
      <c r="AL281" s="242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242"/>
      <c r="AW281" s="156"/>
      <c r="AX281" s="108"/>
      <c r="AY281" s="31"/>
      <c r="AZ281" s="109"/>
      <c r="BA281" s="62"/>
      <c r="BB281" s="62"/>
      <c r="BC281" s="62"/>
      <c r="BD281" s="62"/>
      <c r="BE281" s="110"/>
      <c r="BF281" s="109"/>
      <c r="BG281" s="62"/>
      <c r="BH281" s="62"/>
      <c r="BI281" s="110"/>
      <c r="BJ281" s="426"/>
      <c r="BK281" s="427"/>
      <c r="BL281" s="560"/>
      <c r="BM281" s="149"/>
      <c r="BN281" s="62"/>
      <c r="BO281" s="470"/>
      <c r="BP281" s="485"/>
      <c r="BQ281" s="483"/>
      <c r="BR281" s="486"/>
      <c r="BS281" s="487"/>
      <c r="BT281" s="485"/>
      <c r="BU281" s="483"/>
      <c r="BV281" s="486"/>
      <c r="BW281" s="487"/>
      <c r="BX281" s="440"/>
      <c r="BY281" s="488"/>
      <c r="BZ281" s="489"/>
      <c r="CA281" s="490"/>
      <c r="CB281" s="491"/>
      <c r="CC281" s="72"/>
      <c r="CD281" s="562"/>
      <c r="CE281" s="561"/>
      <c r="CF281" s="492"/>
      <c r="CG281" s="74"/>
      <c r="CH281" s="74"/>
      <c r="CI281" s="74"/>
      <c r="CJ281" s="74"/>
      <c r="CK281" s="74"/>
      <c r="CL281" s="74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31"/>
      <c r="DB281" s="31"/>
      <c r="DC281" s="31"/>
      <c r="DD281" s="31"/>
      <c r="DE281" s="31"/>
      <c r="DF281" s="31"/>
      <c r="DG281" s="134"/>
      <c r="DI281" s="826"/>
      <c r="DJ281" s="788"/>
    </row>
    <row r="282" spans="1:114" s="783" customFormat="1" hidden="1">
      <c r="A282" s="194"/>
      <c r="B282" s="195" t="s">
        <v>71</v>
      </c>
      <c r="C282" s="840" t="s">
        <v>54</v>
      </c>
      <c r="D282" s="31"/>
      <c r="E282" s="31"/>
      <c r="F282" s="31"/>
      <c r="G282" s="31"/>
      <c r="H282" s="242"/>
      <c r="I282" s="242"/>
      <c r="J282" s="242"/>
      <c r="K282" s="242"/>
      <c r="L282" s="242"/>
      <c r="M282" s="134">
        <v>3</v>
      </c>
      <c r="N282" s="134"/>
      <c r="O282" s="134"/>
      <c r="P282" s="134"/>
      <c r="Q282" s="134"/>
      <c r="R282" s="134"/>
      <c r="S282" s="134"/>
      <c r="T282" s="134"/>
      <c r="U282" s="134"/>
      <c r="V282" s="134"/>
      <c r="W282" s="134">
        <v>3</v>
      </c>
      <c r="X282" s="242"/>
      <c r="Y282" s="155"/>
      <c r="Z282" s="242"/>
      <c r="AA282" s="134">
        <v>0.3</v>
      </c>
      <c r="AB282" s="134"/>
      <c r="AC282" s="134"/>
      <c r="AD282" s="134"/>
      <c r="AE282" s="134"/>
      <c r="AF282" s="134"/>
      <c r="AG282" s="134"/>
      <c r="AH282" s="134"/>
      <c r="AI282" s="134"/>
      <c r="AJ282" s="242"/>
      <c r="AK282" s="156"/>
      <c r="AL282" s="242"/>
      <c r="AM282" s="134">
        <v>0.3</v>
      </c>
      <c r="AN282" s="134"/>
      <c r="AO282" s="134"/>
      <c r="AP282" s="134"/>
      <c r="AQ282" s="134"/>
      <c r="AR282" s="134"/>
      <c r="AS282" s="134"/>
      <c r="AT282" s="134"/>
      <c r="AU282" s="134"/>
      <c r="AV282" s="242"/>
      <c r="AW282" s="156"/>
      <c r="AX282" s="108"/>
      <c r="AY282" s="31"/>
      <c r="AZ282" s="109"/>
      <c r="BA282" s="62"/>
      <c r="BB282" s="62"/>
      <c r="BC282" s="62"/>
      <c r="BD282" s="62"/>
      <c r="BE282" s="110"/>
      <c r="BF282" s="109"/>
      <c r="BG282" s="62"/>
      <c r="BH282" s="62">
        <f>AY282-BF282</f>
        <v>0</v>
      </c>
      <c r="BI282" s="110"/>
      <c r="BJ282" s="426">
        <f>BA282-AZ282</f>
        <v>0</v>
      </c>
      <c r="BK282" s="427"/>
      <c r="BL282" s="560"/>
      <c r="BM282" s="149">
        <v>0.3</v>
      </c>
      <c r="BN282" s="62"/>
      <c r="BO282" s="470"/>
      <c r="BP282" s="485"/>
      <c r="BQ282" s="483"/>
      <c r="BR282" s="486"/>
      <c r="BS282" s="487"/>
      <c r="BT282" s="485"/>
      <c r="BU282" s="483"/>
      <c r="BV282" s="486"/>
      <c r="BW282" s="487"/>
      <c r="BX282" s="440"/>
      <c r="BY282" s="488"/>
      <c r="BZ282" s="489">
        <f t="shared" si="151"/>
        <v>3.3</v>
      </c>
      <c r="CA282" s="490"/>
      <c r="CB282" s="491"/>
      <c r="CC282" s="72">
        <f t="shared" si="150"/>
        <v>3.3</v>
      </c>
      <c r="CD282" s="562"/>
      <c r="CE282" s="561"/>
      <c r="CF282" s="492">
        <v>32.299999999999997</v>
      </c>
      <c r="CG282" s="74"/>
      <c r="CH282" s="74"/>
      <c r="CI282" s="74"/>
      <c r="CJ282" s="74"/>
      <c r="CK282" s="74"/>
      <c r="CL282" s="74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31"/>
      <c r="DB282" s="31"/>
      <c r="DC282" s="31"/>
      <c r="DD282" s="31"/>
      <c r="DE282" s="31"/>
      <c r="DF282" s="31"/>
      <c r="DG282" s="134"/>
      <c r="DI282" s="826"/>
      <c r="DJ282" s="788"/>
    </row>
    <row r="283" spans="1:114" s="783" customFormat="1" hidden="1">
      <c r="A283" s="194"/>
      <c r="B283" s="195" t="s">
        <v>60</v>
      </c>
      <c r="C283" s="840" t="s">
        <v>54</v>
      </c>
      <c r="D283" s="31"/>
      <c r="E283" s="31"/>
      <c r="F283" s="31"/>
      <c r="G283" s="31"/>
      <c r="H283" s="242"/>
      <c r="I283" s="242"/>
      <c r="J283" s="242"/>
      <c r="K283" s="242"/>
      <c r="L283" s="242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242"/>
      <c r="Y283" s="155"/>
      <c r="Z283" s="242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242"/>
      <c r="AK283" s="156"/>
      <c r="AL283" s="242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242"/>
      <c r="AW283" s="156"/>
      <c r="AX283" s="108"/>
      <c r="AY283" s="31"/>
      <c r="AZ283" s="109"/>
      <c r="BA283" s="62"/>
      <c r="BB283" s="62"/>
      <c r="BC283" s="62"/>
      <c r="BD283" s="62"/>
      <c r="BE283" s="110"/>
      <c r="BF283" s="109"/>
      <c r="BG283" s="62"/>
      <c r="BH283" s="62"/>
      <c r="BI283" s="110"/>
      <c r="BJ283" s="426">
        <f>BA283-AZ283</f>
        <v>0</v>
      </c>
      <c r="BK283" s="427"/>
      <c r="BL283" s="560"/>
      <c r="BM283" s="149"/>
      <c r="BN283" s="62"/>
      <c r="BO283" s="470"/>
      <c r="BP283" s="485"/>
      <c r="BQ283" s="483"/>
      <c r="BR283" s="486"/>
      <c r="BS283" s="487"/>
      <c r="BT283" s="485"/>
      <c r="BU283" s="483"/>
      <c r="BV283" s="486"/>
      <c r="BW283" s="487"/>
      <c r="BX283" s="440"/>
      <c r="BY283" s="488"/>
      <c r="BZ283" s="489">
        <f t="shared" si="151"/>
        <v>0</v>
      </c>
      <c r="CA283" s="490"/>
      <c r="CB283" s="491"/>
      <c r="CC283" s="72">
        <f t="shared" si="150"/>
        <v>0</v>
      </c>
      <c r="CD283" s="562"/>
      <c r="CE283" s="561"/>
      <c r="CF283" s="492">
        <v>4.5599999999999996</v>
      </c>
      <c r="CG283" s="74"/>
      <c r="CH283" s="74"/>
      <c r="CI283" s="74"/>
      <c r="CJ283" s="74"/>
      <c r="CK283" s="74"/>
      <c r="CL283" s="74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31"/>
      <c r="DB283" s="31"/>
      <c r="DC283" s="31"/>
      <c r="DD283" s="31"/>
      <c r="DE283" s="31"/>
      <c r="DF283" s="31"/>
      <c r="DG283" s="134"/>
      <c r="DI283" s="826"/>
      <c r="DJ283" s="788"/>
    </row>
    <row r="284" spans="1:114" s="783" customFormat="1" hidden="1">
      <c r="A284" s="194"/>
      <c r="B284" s="195" t="s">
        <v>61</v>
      </c>
      <c r="C284" s="840" t="s">
        <v>54</v>
      </c>
      <c r="D284" s="31"/>
      <c r="E284" s="31"/>
      <c r="F284" s="31"/>
      <c r="G284" s="31"/>
      <c r="H284" s="242"/>
      <c r="I284" s="242"/>
      <c r="J284" s="242"/>
      <c r="K284" s="242"/>
      <c r="L284" s="242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242"/>
      <c r="Y284" s="155"/>
      <c r="Z284" s="242"/>
      <c r="AA284" s="134">
        <v>0.36399999999999999</v>
      </c>
      <c r="AB284" s="134"/>
      <c r="AC284" s="134"/>
      <c r="AD284" s="134"/>
      <c r="AE284" s="134"/>
      <c r="AF284" s="134"/>
      <c r="AG284" s="134"/>
      <c r="AH284" s="134"/>
      <c r="AI284" s="134"/>
      <c r="AJ284" s="242"/>
      <c r="AK284" s="156"/>
      <c r="AL284" s="242"/>
      <c r="AM284" s="134">
        <v>0.36399999999999999</v>
      </c>
      <c r="AN284" s="134"/>
      <c r="AO284" s="134"/>
      <c r="AP284" s="134"/>
      <c r="AQ284" s="134"/>
      <c r="AR284" s="134"/>
      <c r="AS284" s="134"/>
      <c r="AT284" s="134"/>
      <c r="AU284" s="134"/>
      <c r="AV284" s="242"/>
      <c r="AW284" s="156"/>
      <c r="AX284" s="108"/>
      <c r="AY284" s="31"/>
      <c r="AZ284" s="109"/>
      <c r="BA284" s="62"/>
      <c r="BB284" s="62"/>
      <c r="BC284" s="62"/>
      <c r="BD284" s="62"/>
      <c r="BE284" s="110"/>
      <c r="BF284" s="109"/>
      <c r="BG284" s="62"/>
      <c r="BH284" s="62">
        <f>AY284</f>
        <v>0</v>
      </c>
      <c r="BI284" s="110"/>
      <c r="BJ284" s="426">
        <f>BA284-AZ284</f>
        <v>0</v>
      </c>
      <c r="BK284" s="427"/>
      <c r="BL284" s="560"/>
      <c r="BM284" s="149">
        <v>0.36399999999999999</v>
      </c>
      <c r="BN284" s="62"/>
      <c r="BO284" s="470"/>
      <c r="BP284" s="485"/>
      <c r="BQ284" s="483"/>
      <c r="BR284" s="486"/>
      <c r="BS284" s="487"/>
      <c r="BT284" s="485"/>
      <c r="BU284" s="483"/>
      <c r="BV284" s="486"/>
      <c r="BW284" s="487"/>
      <c r="BX284" s="440"/>
      <c r="BY284" s="488"/>
      <c r="BZ284" s="489">
        <f t="shared" si="151"/>
        <v>0.36399999999999999</v>
      </c>
      <c r="CA284" s="490"/>
      <c r="CB284" s="491"/>
      <c r="CC284" s="72">
        <f t="shared" si="150"/>
        <v>0.36399999999999999</v>
      </c>
      <c r="CD284" s="562"/>
      <c r="CE284" s="561"/>
      <c r="CF284" s="492">
        <v>1.71</v>
      </c>
      <c r="CG284" s="74"/>
      <c r="CH284" s="74"/>
      <c r="CI284" s="74"/>
      <c r="CJ284" s="74"/>
      <c r="CK284" s="74"/>
      <c r="CL284" s="74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31"/>
      <c r="DB284" s="31"/>
      <c r="DC284" s="31"/>
      <c r="DD284" s="31"/>
      <c r="DE284" s="31"/>
      <c r="DF284" s="31"/>
      <c r="DG284" s="134"/>
      <c r="DI284" s="826"/>
      <c r="DJ284" s="788"/>
    </row>
    <row r="285" spans="1:114" s="783" customFormat="1" hidden="1">
      <c r="A285" s="194"/>
      <c r="B285" s="195" t="s">
        <v>197</v>
      </c>
      <c r="C285" s="840"/>
      <c r="D285" s="31"/>
      <c r="E285" s="31"/>
      <c r="F285" s="31"/>
      <c r="G285" s="31"/>
      <c r="H285" s="242"/>
      <c r="I285" s="242"/>
      <c r="J285" s="242"/>
      <c r="K285" s="242"/>
      <c r="L285" s="242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242"/>
      <c r="Y285" s="155"/>
      <c r="Z285" s="242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242"/>
      <c r="AK285" s="156"/>
      <c r="AL285" s="242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242"/>
      <c r="AW285" s="156"/>
      <c r="AX285" s="108"/>
      <c r="AY285" s="31"/>
      <c r="AZ285" s="109"/>
      <c r="BA285" s="62"/>
      <c r="BB285" s="62"/>
      <c r="BC285" s="62"/>
      <c r="BD285" s="62"/>
      <c r="BE285" s="110"/>
      <c r="BF285" s="109"/>
      <c r="BG285" s="62"/>
      <c r="BH285" s="62">
        <f>AY285</f>
        <v>0</v>
      </c>
      <c r="BI285" s="110"/>
      <c r="BJ285" s="426"/>
      <c r="BK285" s="427"/>
      <c r="BL285" s="560"/>
      <c r="BM285" s="149"/>
      <c r="BN285" s="62"/>
      <c r="BO285" s="470"/>
      <c r="BP285" s="485"/>
      <c r="BQ285" s="483"/>
      <c r="BR285" s="486"/>
      <c r="BS285" s="487"/>
      <c r="BT285" s="485"/>
      <c r="BU285" s="483"/>
      <c r="BV285" s="486"/>
      <c r="BW285" s="487"/>
      <c r="BX285" s="440"/>
      <c r="BY285" s="488"/>
      <c r="BZ285" s="489"/>
      <c r="CA285" s="490"/>
      <c r="CB285" s="491"/>
      <c r="CC285" s="72"/>
      <c r="CD285" s="562"/>
      <c r="CE285" s="561"/>
      <c r="CF285" s="492"/>
      <c r="CG285" s="74"/>
      <c r="CH285" s="74"/>
      <c r="CI285" s="74"/>
      <c r="CJ285" s="74"/>
      <c r="CK285" s="74"/>
      <c r="CL285" s="74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31"/>
      <c r="DB285" s="31"/>
      <c r="DC285" s="31"/>
      <c r="DD285" s="31"/>
      <c r="DE285" s="31"/>
      <c r="DF285" s="31"/>
      <c r="DG285" s="134"/>
      <c r="DI285" s="826"/>
      <c r="DJ285" s="788"/>
    </row>
    <row r="286" spans="1:114" s="783" customFormat="1" hidden="1">
      <c r="A286" s="194"/>
      <c r="B286" s="195" t="s">
        <v>62</v>
      </c>
      <c r="C286" s="840"/>
      <c r="D286" s="31"/>
      <c r="E286" s="31"/>
      <c r="F286" s="31"/>
      <c r="G286" s="31"/>
      <c r="H286" s="242"/>
      <c r="I286" s="242"/>
      <c r="J286" s="242"/>
      <c r="K286" s="242"/>
      <c r="L286" s="242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242"/>
      <c r="Y286" s="155"/>
      <c r="Z286" s="242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242"/>
      <c r="AK286" s="156"/>
      <c r="AL286" s="242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242"/>
      <c r="AW286" s="156"/>
      <c r="AX286" s="108"/>
      <c r="AY286" s="31"/>
      <c r="AZ286" s="109"/>
      <c r="BA286" s="62"/>
      <c r="BB286" s="62"/>
      <c r="BC286" s="62"/>
      <c r="BD286" s="62"/>
      <c r="BE286" s="110"/>
      <c r="BF286" s="109"/>
      <c r="BG286" s="62"/>
      <c r="BH286" s="62">
        <v>7</v>
      </c>
      <c r="BI286" s="110"/>
      <c r="BJ286" s="426"/>
      <c r="BK286" s="427"/>
      <c r="BL286" s="560"/>
      <c r="BM286" s="149"/>
      <c r="BN286" s="62"/>
      <c r="BO286" s="470"/>
      <c r="BP286" s="485"/>
      <c r="BQ286" s="483"/>
      <c r="BR286" s="486"/>
      <c r="BS286" s="487"/>
      <c r="BT286" s="485"/>
      <c r="BU286" s="483"/>
      <c r="BV286" s="486"/>
      <c r="BW286" s="487"/>
      <c r="BX286" s="440"/>
      <c r="BY286" s="488"/>
      <c r="BZ286" s="489"/>
      <c r="CA286" s="490"/>
      <c r="CB286" s="491"/>
      <c r="CC286" s="72"/>
      <c r="CD286" s="562"/>
      <c r="CE286" s="561"/>
      <c r="CF286" s="492"/>
      <c r="CG286" s="74"/>
      <c r="CH286" s="74"/>
      <c r="CI286" s="74"/>
      <c r="CJ286" s="74"/>
      <c r="CK286" s="74"/>
      <c r="CL286" s="74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31"/>
      <c r="DB286" s="31"/>
      <c r="DC286" s="31"/>
      <c r="DD286" s="31"/>
      <c r="DE286" s="31"/>
      <c r="DF286" s="31"/>
      <c r="DG286" s="134"/>
      <c r="DI286" s="826"/>
      <c r="DJ286" s="788"/>
    </row>
    <row r="287" spans="1:114" s="783" customFormat="1" hidden="1">
      <c r="A287" s="194"/>
      <c r="B287" s="195" t="s">
        <v>216</v>
      </c>
      <c r="C287" s="840"/>
      <c r="D287" s="31"/>
      <c r="E287" s="31"/>
      <c r="F287" s="31"/>
      <c r="G287" s="31"/>
      <c r="H287" s="242"/>
      <c r="I287" s="242"/>
      <c r="J287" s="242"/>
      <c r="K287" s="242"/>
      <c r="L287" s="242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242"/>
      <c r="Y287" s="155"/>
      <c r="Z287" s="242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242"/>
      <c r="AK287" s="156"/>
      <c r="AL287" s="242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242"/>
      <c r="AW287" s="156"/>
      <c r="AX287" s="108"/>
      <c r="AY287" s="31"/>
      <c r="AZ287" s="109"/>
      <c r="BA287" s="62"/>
      <c r="BB287" s="62"/>
      <c r="BC287" s="62"/>
      <c r="BD287" s="62"/>
      <c r="BE287" s="110"/>
      <c r="BF287" s="109">
        <f>AY287</f>
        <v>0</v>
      </c>
      <c r="BG287" s="62"/>
      <c r="BH287" s="62"/>
      <c r="BI287" s="110"/>
      <c r="BJ287" s="426"/>
      <c r="BK287" s="427"/>
      <c r="BL287" s="560"/>
      <c r="BM287" s="149"/>
      <c r="BN287" s="62"/>
      <c r="BO287" s="470"/>
      <c r="BP287" s="485"/>
      <c r="BQ287" s="483"/>
      <c r="BR287" s="486"/>
      <c r="BS287" s="487"/>
      <c r="BT287" s="485"/>
      <c r="BU287" s="483"/>
      <c r="BV287" s="486"/>
      <c r="BW287" s="487"/>
      <c r="BX287" s="440"/>
      <c r="BY287" s="488"/>
      <c r="BZ287" s="489"/>
      <c r="CA287" s="490"/>
      <c r="CB287" s="491"/>
      <c r="CC287" s="72"/>
      <c r="CD287" s="562"/>
      <c r="CE287" s="561"/>
      <c r="CF287" s="492"/>
      <c r="CG287" s="74"/>
      <c r="CH287" s="74"/>
      <c r="CI287" s="74"/>
      <c r="CJ287" s="74"/>
      <c r="CK287" s="74"/>
      <c r="CL287" s="74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31"/>
      <c r="DB287" s="31"/>
      <c r="DC287" s="31"/>
      <c r="DD287" s="31"/>
      <c r="DE287" s="31"/>
      <c r="DF287" s="31"/>
      <c r="DG287" s="134"/>
      <c r="DI287" s="826"/>
      <c r="DJ287" s="788"/>
    </row>
    <row r="288" spans="1:114" s="783" customFormat="1" hidden="1">
      <c r="A288" s="194"/>
      <c r="B288" s="195" t="s">
        <v>73</v>
      </c>
      <c r="C288" s="840" t="s">
        <v>54</v>
      </c>
      <c r="D288" s="31"/>
      <c r="E288" s="31"/>
      <c r="F288" s="31"/>
      <c r="G288" s="31"/>
      <c r="H288" s="242"/>
      <c r="I288" s="242"/>
      <c r="J288" s="242"/>
      <c r="K288" s="242"/>
      <c r="L288" s="242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242"/>
      <c r="Y288" s="155"/>
      <c r="Z288" s="242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242"/>
      <c r="AK288" s="156"/>
      <c r="AL288" s="242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242"/>
      <c r="AW288" s="156"/>
      <c r="AX288" s="108"/>
      <c r="AY288" s="31"/>
      <c r="AZ288" s="109"/>
      <c r="BA288" s="62"/>
      <c r="BB288" s="62"/>
      <c r="BC288" s="62"/>
      <c r="BD288" s="62"/>
      <c r="BE288" s="110"/>
      <c r="BF288" s="109"/>
      <c r="BG288" s="62"/>
      <c r="BH288" s="62"/>
      <c r="BI288" s="110"/>
      <c r="BJ288" s="426">
        <f t="shared" ref="BJ288:BJ298" si="152">BA288-AZ288</f>
        <v>0</v>
      </c>
      <c r="BK288" s="427"/>
      <c r="BL288" s="560"/>
      <c r="BM288" s="149"/>
      <c r="BN288" s="62"/>
      <c r="BO288" s="470"/>
      <c r="BP288" s="485"/>
      <c r="BQ288" s="483"/>
      <c r="BR288" s="486"/>
      <c r="BS288" s="487"/>
      <c r="BT288" s="485"/>
      <c r="BU288" s="483"/>
      <c r="BV288" s="486"/>
      <c r="BW288" s="487"/>
      <c r="BX288" s="440"/>
      <c r="BY288" s="488"/>
      <c r="BZ288" s="489">
        <f t="shared" si="151"/>
        <v>0</v>
      </c>
      <c r="CA288" s="490"/>
      <c r="CB288" s="491"/>
      <c r="CC288" s="72">
        <f t="shared" si="150"/>
        <v>0</v>
      </c>
      <c r="CD288" s="562"/>
      <c r="CE288" s="561"/>
      <c r="CF288" s="492">
        <v>31.5</v>
      </c>
      <c r="CG288" s="74"/>
      <c r="CH288" s="74"/>
      <c r="CI288" s="74"/>
      <c r="CJ288" s="74"/>
      <c r="CK288" s="74"/>
      <c r="CL288" s="74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31"/>
      <c r="DB288" s="31"/>
      <c r="DC288" s="31"/>
      <c r="DD288" s="31"/>
      <c r="DE288" s="31"/>
      <c r="DF288" s="31"/>
      <c r="DG288" s="134"/>
      <c r="DI288" s="826"/>
      <c r="DJ288" s="788"/>
    </row>
    <row r="289" spans="1:114" s="783" customFormat="1" hidden="1">
      <c r="A289" s="194"/>
      <c r="B289" s="195" t="s">
        <v>72</v>
      </c>
      <c r="C289" s="840" t="s">
        <v>54</v>
      </c>
      <c r="D289" s="31"/>
      <c r="E289" s="31"/>
      <c r="F289" s="31"/>
      <c r="G289" s="31"/>
      <c r="H289" s="242"/>
      <c r="I289" s="242"/>
      <c r="J289" s="242"/>
      <c r="K289" s="242"/>
      <c r="L289" s="242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242"/>
      <c r="Y289" s="155"/>
      <c r="Z289" s="242"/>
      <c r="AA289" s="134">
        <v>19.2</v>
      </c>
      <c r="AB289" s="134"/>
      <c r="AC289" s="134"/>
      <c r="AD289" s="134"/>
      <c r="AE289" s="134"/>
      <c r="AF289" s="134"/>
      <c r="AG289" s="134"/>
      <c r="AH289" s="134"/>
      <c r="AI289" s="134"/>
      <c r="AJ289" s="242"/>
      <c r="AK289" s="156"/>
      <c r="AL289" s="242"/>
      <c r="AM289" s="134">
        <v>19.2</v>
      </c>
      <c r="AN289" s="134"/>
      <c r="AO289" s="134"/>
      <c r="AP289" s="134"/>
      <c r="AQ289" s="134"/>
      <c r="AR289" s="134"/>
      <c r="AS289" s="134"/>
      <c r="AT289" s="134"/>
      <c r="AU289" s="134"/>
      <c r="AV289" s="242"/>
      <c r="AW289" s="156"/>
      <c r="AX289" s="108"/>
      <c r="AY289" s="31"/>
      <c r="AZ289" s="109"/>
      <c r="BA289" s="62"/>
      <c r="BB289" s="62"/>
      <c r="BC289" s="62"/>
      <c r="BD289" s="62"/>
      <c r="BE289" s="110"/>
      <c r="BF289" s="109"/>
      <c r="BG289" s="62"/>
      <c r="BH289" s="62"/>
      <c r="BI289" s="110"/>
      <c r="BJ289" s="426">
        <f t="shared" si="152"/>
        <v>0</v>
      </c>
      <c r="BK289" s="427"/>
      <c r="BL289" s="560"/>
      <c r="BM289" s="149">
        <v>19.2</v>
      </c>
      <c r="BN289" s="62"/>
      <c r="BO289" s="470"/>
      <c r="BP289" s="485"/>
      <c r="BQ289" s="483"/>
      <c r="BR289" s="486"/>
      <c r="BS289" s="487"/>
      <c r="BT289" s="485"/>
      <c r="BU289" s="483"/>
      <c r="BV289" s="486"/>
      <c r="BW289" s="487"/>
      <c r="BX289" s="440"/>
      <c r="BY289" s="488"/>
      <c r="BZ289" s="489">
        <f t="shared" si="151"/>
        <v>19.2</v>
      </c>
      <c r="CA289" s="490"/>
      <c r="CB289" s="491"/>
      <c r="CC289" s="72">
        <f t="shared" si="150"/>
        <v>19.2</v>
      </c>
      <c r="CD289" s="562"/>
      <c r="CE289" s="561"/>
      <c r="CF289" s="492">
        <v>22.2</v>
      </c>
      <c r="CG289" s="74"/>
      <c r="CH289" s="74"/>
      <c r="CI289" s="74"/>
      <c r="CJ289" s="74"/>
      <c r="CK289" s="74"/>
      <c r="CL289" s="74"/>
      <c r="CM289" s="75"/>
      <c r="CN289" s="75"/>
      <c r="CO289" s="75"/>
      <c r="CP289" s="75"/>
      <c r="CQ289" s="75"/>
      <c r="CR289" s="75"/>
      <c r="CS289" s="75"/>
      <c r="CT289" s="75"/>
      <c r="CU289" s="75"/>
      <c r="CV289" s="75"/>
      <c r="CW289" s="75"/>
      <c r="CX289" s="75"/>
      <c r="CY289" s="75"/>
      <c r="CZ289" s="75"/>
      <c r="DA289" s="31"/>
      <c r="DB289" s="31"/>
      <c r="DC289" s="31"/>
      <c r="DD289" s="31"/>
      <c r="DE289" s="31"/>
      <c r="DF289" s="31"/>
      <c r="DG289" s="134"/>
      <c r="DI289" s="826"/>
      <c r="DJ289" s="788"/>
    </row>
    <row r="290" spans="1:114" s="783" customFormat="1" hidden="1">
      <c r="A290" s="194"/>
      <c r="B290" s="195" t="s">
        <v>19</v>
      </c>
      <c r="C290" s="840" t="s">
        <v>54</v>
      </c>
      <c r="D290" s="31"/>
      <c r="E290" s="31"/>
      <c r="F290" s="31"/>
      <c r="G290" s="31"/>
      <c r="H290" s="242"/>
      <c r="I290" s="242"/>
      <c r="J290" s="242"/>
      <c r="K290" s="242"/>
      <c r="L290" s="242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242"/>
      <c r="Y290" s="155"/>
      <c r="Z290" s="242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242"/>
      <c r="AK290" s="156"/>
      <c r="AL290" s="242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242"/>
      <c r="AW290" s="156"/>
      <c r="AX290" s="108"/>
      <c r="AY290" s="31"/>
      <c r="AZ290" s="109"/>
      <c r="BA290" s="62"/>
      <c r="BB290" s="62"/>
      <c r="BC290" s="62"/>
      <c r="BD290" s="62"/>
      <c r="BE290" s="110"/>
      <c r="BF290" s="109"/>
      <c r="BG290" s="62"/>
      <c r="BH290" s="62"/>
      <c r="BI290" s="110"/>
      <c r="BJ290" s="426">
        <f t="shared" si="152"/>
        <v>0</v>
      </c>
      <c r="BK290" s="427"/>
      <c r="BL290" s="560"/>
      <c r="BM290" s="149"/>
      <c r="BN290" s="62"/>
      <c r="BO290" s="470"/>
      <c r="BP290" s="485"/>
      <c r="BQ290" s="483"/>
      <c r="BR290" s="486"/>
      <c r="BS290" s="487"/>
      <c r="BT290" s="485"/>
      <c r="BU290" s="483"/>
      <c r="BV290" s="486"/>
      <c r="BW290" s="487"/>
      <c r="BX290" s="440"/>
      <c r="BY290" s="488"/>
      <c r="BZ290" s="489">
        <f t="shared" si="151"/>
        <v>0</v>
      </c>
      <c r="CA290" s="490"/>
      <c r="CB290" s="491"/>
      <c r="CC290" s="72">
        <f t="shared" si="150"/>
        <v>0</v>
      </c>
      <c r="CD290" s="562"/>
      <c r="CE290" s="561"/>
      <c r="CF290" s="492">
        <v>1.57</v>
      </c>
      <c r="CG290" s="74"/>
      <c r="CH290" s="74"/>
      <c r="CI290" s="74"/>
      <c r="CJ290" s="74"/>
      <c r="CK290" s="74"/>
      <c r="CL290" s="74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31"/>
      <c r="DB290" s="31"/>
      <c r="DC290" s="31"/>
      <c r="DD290" s="31"/>
      <c r="DE290" s="31"/>
      <c r="DF290" s="31"/>
      <c r="DG290" s="134"/>
      <c r="DI290" s="826"/>
      <c r="DJ290" s="788"/>
    </row>
    <row r="291" spans="1:114" s="783" customFormat="1" hidden="1">
      <c r="A291" s="194" t="s">
        <v>146</v>
      </c>
      <c r="B291" s="199" t="s">
        <v>15</v>
      </c>
      <c r="C291" s="840" t="s">
        <v>54</v>
      </c>
      <c r="D291" s="179"/>
      <c r="E291" s="179"/>
      <c r="F291" s="179"/>
      <c r="G291" s="179"/>
      <c r="H291" s="283"/>
      <c r="I291" s="283"/>
      <c r="J291" s="283"/>
      <c r="K291" s="283"/>
      <c r="L291" s="283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283"/>
      <c r="Y291" s="284"/>
      <c r="Z291" s="283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283"/>
      <c r="AK291" s="285"/>
      <c r="AL291" s="283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283"/>
      <c r="AW291" s="285"/>
      <c r="AX291" s="108">
        <v>5.2</v>
      </c>
      <c r="AY291" s="179"/>
      <c r="AZ291" s="184"/>
      <c r="BA291" s="185"/>
      <c r="BB291" s="185"/>
      <c r="BC291" s="185"/>
      <c r="BD291" s="185"/>
      <c r="BE291" s="186"/>
      <c r="BF291" s="184"/>
      <c r="BG291" s="185"/>
      <c r="BH291" s="185">
        <f>SUM(BH292)</f>
        <v>0</v>
      </c>
      <c r="BI291" s="186"/>
      <c r="BJ291" s="426">
        <f t="shared" si="152"/>
        <v>0</v>
      </c>
      <c r="BK291" s="427"/>
      <c r="BL291" s="637"/>
      <c r="BM291" s="204">
        <f>BM292</f>
        <v>0</v>
      </c>
      <c r="BN291" s="185"/>
      <c r="BO291" s="470"/>
      <c r="BP291" s="496"/>
      <c r="BQ291" s="495"/>
      <c r="BR291" s="497"/>
      <c r="BS291" s="498"/>
      <c r="BT291" s="496"/>
      <c r="BU291" s="495"/>
      <c r="BV291" s="497"/>
      <c r="BW291" s="498"/>
      <c r="BX291" s="499"/>
      <c r="BY291" s="500"/>
      <c r="BZ291" s="501">
        <f>SUM(BZ292)</f>
        <v>0</v>
      </c>
      <c r="CA291" s="502"/>
      <c r="CB291" s="503"/>
      <c r="CC291" s="72">
        <f t="shared" si="150"/>
        <v>0</v>
      </c>
      <c r="CD291" s="638"/>
      <c r="CE291" s="639"/>
      <c r="CF291" s="505">
        <f>SUM(CF292)</f>
        <v>3.53</v>
      </c>
      <c r="CG291" s="465"/>
      <c r="CH291" s="465"/>
      <c r="CI291" s="465"/>
      <c r="CJ291" s="465"/>
      <c r="CK291" s="465"/>
      <c r="CL291" s="465"/>
      <c r="CM291" s="466"/>
      <c r="CN291" s="466"/>
      <c r="CO291" s="466"/>
      <c r="CP291" s="466"/>
      <c r="CQ291" s="466"/>
      <c r="CR291" s="466"/>
      <c r="CS291" s="466"/>
      <c r="CT291" s="466"/>
      <c r="CU291" s="466"/>
      <c r="CV291" s="466"/>
      <c r="CW291" s="466"/>
      <c r="CX291" s="466"/>
      <c r="CY291" s="466"/>
      <c r="CZ291" s="466"/>
      <c r="DA291" s="179"/>
      <c r="DB291" s="179"/>
      <c r="DC291" s="179"/>
      <c r="DD291" s="179"/>
      <c r="DE291" s="179"/>
      <c r="DF291" s="179"/>
      <c r="DG291" s="180"/>
      <c r="DI291" s="826"/>
      <c r="DJ291" s="788"/>
    </row>
    <row r="292" spans="1:114" s="783" customFormat="1" hidden="1">
      <c r="A292" s="194"/>
      <c r="B292" s="195" t="s">
        <v>16</v>
      </c>
      <c r="C292" s="840" t="s">
        <v>54</v>
      </c>
      <c r="D292" s="31"/>
      <c r="E292" s="31"/>
      <c r="F292" s="31"/>
      <c r="G292" s="31"/>
      <c r="H292" s="242"/>
      <c r="I292" s="242"/>
      <c r="J292" s="242"/>
      <c r="K292" s="242"/>
      <c r="L292" s="242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242"/>
      <c r="Y292" s="155"/>
      <c r="Z292" s="242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242"/>
      <c r="AK292" s="156"/>
      <c r="AL292" s="242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242"/>
      <c r="AW292" s="156"/>
      <c r="AX292" s="108"/>
      <c r="AY292" s="31"/>
      <c r="AZ292" s="109"/>
      <c r="BA292" s="62"/>
      <c r="BB292" s="62"/>
      <c r="BC292" s="62"/>
      <c r="BD292" s="62"/>
      <c r="BE292" s="110"/>
      <c r="BF292" s="109"/>
      <c r="BG292" s="62"/>
      <c r="BH292" s="62">
        <f>AY292</f>
        <v>0</v>
      </c>
      <c r="BI292" s="110"/>
      <c r="BJ292" s="426">
        <f t="shared" si="152"/>
        <v>0</v>
      </c>
      <c r="BK292" s="427"/>
      <c r="BL292" s="560"/>
      <c r="BM292" s="149"/>
      <c r="BN292" s="62"/>
      <c r="BO292" s="470"/>
      <c r="BP292" s="485"/>
      <c r="BQ292" s="483"/>
      <c r="BR292" s="486"/>
      <c r="BS292" s="487"/>
      <c r="BT292" s="485"/>
      <c r="BU292" s="483"/>
      <c r="BV292" s="486"/>
      <c r="BW292" s="487"/>
      <c r="BX292" s="440"/>
      <c r="BY292" s="488"/>
      <c r="BZ292" s="489">
        <f>M292+BM292+BQ292+BU292</f>
        <v>0</v>
      </c>
      <c r="CA292" s="490"/>
      <c r="CB292" s="491"/>
      <c r="CC292" s="72">
        <f t="shared" si="150"/>
        <v>0</v>
      </c>
      <c r="CD292" s="562"/>
      <c r="CE292" s="561"/>
      <c r="CF292" s="492">
        <v>3.53</v>
      </c>
      <c r="CG292" s="74"/>
      <c r="CH292" s="74"/>
      <c r="CI292" s="74"/>
      <c r="CJ292" s="74"/>
      <c r="CK292" s="74"/>
      <c r="CL292" s="74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31"/>
      <c r="DB292" s="31"/>
      <c r="DC292" s="31"/>
      <c r="DD292" s="31"/>
      <c r="DE292" s="31"/>
      <c r="DF292" s="31"/>
      <c r="DG292" s="134"/>
      <c r="DI292" s="826"/>
      <c r="DJ292" s="788"/>
    </row>
    <row r="293" spans="1:114" s="783" customFormat="1" hidden="1">
      <c r="A293" s="194" t="s">
        <v>147</v>
      </c>
      <c r="B293" s="199" t="s">
        <v>20</v>
      </c>
      <c r="C293" s="840" t="s">
        <v>54</v>
      </c>
      <c r="D293" s="179"/>
      <c r="E293" s="179"/>
      <c r="F293" s="179"/>
      <c r="G293" s="179"/>
      <c r="H293" s="283"/>
      <c r="I293" s="283"/>
      <c r="J293" s="283"/>
      <c r="K293" s="283"/>
      <c r="L293" s="283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283"/>
      <c r="Y293" s="284"/>
      <c r="Z293" s="283"/>
      <c r="AA293" s="180"/>
      <c r="AB293" s="180"/>
      <c r="AC293" s="180"/>
      <c r="AD293" s="180"/>
      <c r="AE293" s="180"/>
      <c r="AF293" s="180"/>
      <c r="AG293" s="180"/>
      <c r="AH293" s="180"/>
      <c r="AI293" s="180"/>
      <c r="AJ293" s="283"/>
      <c r="AK293" s="285"/>
      <c r="AL293" s="283"/>
      <c r="AM293" s="180"/>
      <c r="AN293" s="180"/>
      <c r="AO293" s="180"/>
      <c r="AP293" s="180"/>
      <c r="AQ293" s="180"/>
      <c r="AR293" s="180"/>
      <c r="AS293" s="180"/>
      <c r="AT293" s="180"/>
      <c r="AU293" s="180"/>
      <c r="AV293" s="283"/>
      <c r="AW293" s="285"/>
      <c r="AX293" s="108">
        <v>1.98</v>
      </c>
      <c r="AY293" s="179"/>
      <c r="AZ293" s="184"/>
      <c r="BA293" s="185"/>
      <c r="BB293" s="185"/>
      <c r="BC293" s="185"/>
      <c r="BD293" s="185"/>
      <c r="BE293" s="186"/>
      <c r="BF293" s="184"/>
      <c r="BG293" s="185"/>
      <c r="BH293" s="185">
        <f>SUM(BH294)</f>
        <v>0</v>
      </c>
      <c r="BI293" s="186"/>
      <c r="BJ293" s="426">
        <f t="shared" si="152"/>
        <v>0</v>
      </c>
      <c r="BK293" s="427"/>
      <c r="BL293" s="637"/>
      <c r="BM293" s="204">
        <f>BM294</f>
        <v>0</v>
      </c>
      <c r="BN293" s="185"/>
      <c r="BO293" s="470"/>
      <c r="BP293" s="496"/>
      <c r="BQ293" s="495"/>
      <c r="BR293" s="497"/>
      <c r="BS293" s="498"/>
      <c r="BT293" s="496"/>
      <c r="BU293" s="495"/>
      <c r="BV293" s="497"/>
      <c r="BW293" s="498"/>
      <c r="BX293" s="499"/>
      <c r="BY293" s="500"/>
      <c r="BZ293" s="501">
        <f>SUM(BZ294)</f>
        <v>0</v>
      </c>
      <c r="CA293" s="502"/>
      <c r="CB293" s="503"/>
      <c r="CC293" s="72">
        <f t="shared" si="150"/>
        <v>0</v>
      </c>
      <c r="CD293" s="638"/>
      <c r="CE293" s="639"/>
      <c r="CF293" s="505">
        <f>SUM(CF294)</f>
        <v>2.92</v>
      </c>
      <c r="CG293" s="465"/>
      <c r="CH293" s="465"/>
      <c r="CI293" s="465"/>
      <c r="CJ293" s="465"/>
      <c r="CK293" s="465"/>
      <c r="CL293" s="465"/>
      <c r="CM293" s="466"/>
      <c r="CN293" s="466"/>
      <c r="CO293" s="466"/>
      <c r="CP293" s="466"/>
      <c r="CQ293" s="466"/>
      <c r="CR293" s="466"/>
      <c r="CS293" s="466"/>
      <c r="CT293" s="466"/>
      <c r="CU293" s="466"/>
      <c r="CV293" s="466"/>
      <c r="CW293" s="466"/>
      <c r="CX293" s="466"/>
      <c r="CY293" s="466"/>
      <c r="CZ293" s="466"/>
      <c r="DA293" s="179"/>
      <c r="DB293" s="179"/>
      <c r="DC293" s="179"/>
      <c r="DD293" s="179"/>
      <c r="DE293" s="179"/>
      <c r="DF293" s="179"/>
      <c r="DG293" s="180"/>
      <c r="DI293" s="826"/>
      <c r="DJ293" s="788"/>
    </row>
    <row r="294" spans="1:114" s="783" customFormat="1" hidden="1">
      <c r="A294" s="194"/>
      <c r="B294" s="195" t="s">
        <v>21</v>
      </c>
      <c r="C294" s="840" t="s">
        <v>54</v>
      </c>
      <c r="D294" s="78"/>
      <c r="E294" s="78"/>
      <c r="F294" s="78"/>
      <c r="G294" s="78"/>
      <c r="H294" s="242"/>
      <c r="I294" s="242"/>
      <c r="J294" s="242"/>
      <c r="K294" s="242"/>
      <c r="L294" s="242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242"/>
      <c r="Y294" s="155"/>
      <c r="Z294" s="242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242"/>
      <c r="AK294" s="156"/>
      <c r="AL294" s="242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242"/>
      <c r="AW294" s="156"/>
      <c r="AX294" s="108"/>
      <c r="AY294" s="31"/>
      <c r="AZ294" s="109"/>
      <c r="BA294" s="62"/>
      <c r="BB294" s="62"/>
      <c r="BC294" s="62"/>
      <c r="BD294" s="62"/>
      <c r="BE294" s="110"/>
      <c r="BF294" s="109"/>
      <c r="BG294" s="62"/>
      <c r="BH294" s="62">
        <f>AY294</f>
        <v>0</v>
      </c>
      <c r="BI294" s="110"/>
      <c r="BJ294" s="426">
        <f t="shared" si="152"/>
        <v>0</v>
      </c>
      <c r="BK294" s="427"/>
      <c r="BL294" s="560"/>
      <c r="BM294" s="149"/>
      <c r="BN294" s="62"/>
      <c r="BO294" s="470"/>
      <c r="BP294" s="485"/>
      <c r="BQ294" s="483"/>
      <c r="BR294" s="486"/>
      <c r="BS294" s="487"/>
      <c r="BT294" s="485"/>
      <c r="BU294" s="483"/>
      <c r="BV294" s="486"/>
      <c r="BW294" s="487"/>
      <c r="BX294" s="440"/>
      <c r="BY294" s="488"/>
      <c r="BZ294" s="489">
        <f>M294+BM294+BQ294+BU294</f>
        <v>0</v>
      </c>
      <c r="CA294" s="490"/>
      <c r="CB294" s="491"/>
      <c r="CC294" s="72">
        <f t="shared" si="150"/>
        <v>0</v>
      </c>
      <c r="CD294" s="562"/>
      <c r="CE294" s="561"/>
      <c r="CF294" s="492">
        <v>2.92</v>
      </c>
      <c r="CG294" s="74"/>
      <c r="CH294" s="74"/>
      <c r="CI294" s="74"/>
      <c r="CJ294" s="74"/>
      <c r="CK294" s="74"/>
      <c r="CL294" s="74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31"/>
      <c r="DB294" s="31"/>
      <c r="DC294" s="78"/>
      <c r="DD294" s="78"/>
      <c r="DE294" s="78"/>
      <c r="DF294" s="78"/>
      <c r="DG294" s="134"/>
      <c r="DI294" s="826"/>
      <c r="DJ294" s="788"/>
    </row>
    <row r="295" spans="1:114" s="783" customFormat="1" hidden="1">
      <c r="A295" s="194" t="s">
        <v>217</v>
      </c>
      <c r="B295" s="199" t="s">
        <v>22</v>
      </c>
      <c r="C295" s="840" t="s">
        <v>54</v>
      </c>
      <c r="D295" s="179"/>
      <c r="E295" s="179"/>
      <c r="F295" s="179"/>
      <c r="G295" s="179"/>
      <c r="H295" s="283"/>
      <c r="I295" s="283"/>
      <c r="J295" s="283"/>
      <c r="K295" s="283"/>
      <c r="L295" s="283"/>
      <c r="M295" s="180">
        <f>SUM(M296:M297)</f>
        <v>5.77</v>
      </c>
      <c r="N295" s="180"/>
      <c r="O295" s="180"/>
      <c r="P295" s="180"/>
      <c r="Q295" s="180"/>
      <c r="R295" s="180"/>
      <c r="S295" s="180"/>
      <c r="T295" s="180"/>
      <c r="U295" s="180"/>
      <c r="V295" s="180"/>
      <c r="W295" s="180">
        <f>SUM(W296)</f>
        <v>5.77</v>
      </c>
      <c r="X295" s="283"/>
      <c r="Y295" s="284"/>
      <c r="Z295" s="283"/>
      <c r="AA295" s="180">
        <f>SUM(AA296:AA297)</f>
        <v>6.8599899999999998</v>
      </c>
      <c r="AB295" s="180"/>
      <c r="AC295" s="180"/>
      <c r="AD295" s="180"/>
      <c r="AE295" s="180"/>
      <c r="AF295" s="180"/>
      <c r="AG295" s="180"/>
      <c r="AH295" s="180"/>
      <c r="AI295" s="180">
        <f>SUM(AI296)</f>
        <v>0</v>
      </c>
      <c r="AJ295" s="283"/>
      <c r="AK295" s="285"/>
      <c r="AL295" s="283"/>
      <c r="AM295" s="180">
        <f>SUM(AM296:AM297)</f>
        <v>6.8599899999999998</v>
      </c>
      <c r="AN295" s="180"/>
      <c r="AO295" s="180"/>
      <c r="AP295" s="180"/>
      <c r="AQ295" s="180"/>
      <c r="AR295" s="180"/>
      <c r="AS295" s="180"/>
      <c r="AT295" s="180"/>
      <c r="AU295" s="180">
        <f>SUM(AU296)</f>
        <v>0</v>
      </c>
      <c r="AV295" s="283"/>
      <c r="AW295" s="285"/>
      <c r="AX295" s="108">
        <v>36.6</v>
      </c>
      <c r="AY295" s="179"/>
      <c r="AZ295" s="184"/>
      <c r="BA295" s="185"/>
      <c r="BB295" s="185"/>
      <c r="BC295" s="185"/>
      <c r="BD295" s="185"/>
      <c r="BE295" s="186"/>
      <c r="BF295" s="184"/>
      <c r="BG295" s="185"/>
      <c r="BH295" s="185">
        <f>SUM(BH296)</f>
        <v>0</v>
      </c>
      <c r="BI295" s="186"/>
      <c r="BJ295" s="426">
        <f t="shared" si="152"/>
        <v>0</v>
      </c>
      <c r="BK295" s="427"/>
      <c r="BL295" s="637"/>
      <c r="BM295" s="204">
        <f>SUM(BM296:BM297)</f>
        <v>6.8599899999999998</v>
      </c>
      <c r="BN295" s="185"/>
      <c r="BO295" s="470"/>
      <c r="BP295" s="496"/>
      <c r="BQ295" s="495"/>
      <c r="BR295" s="497"/>
      <c r="BS295" s="498"/>
      <c r="BT295" s="496"/>
      <c r="BU295" s="495"/>
      <c r="BV295" s="497"/>
      <c r="BW295" s="498"/>
      <c r="BX295" s="499"/>
      <c r="BY295" s="500"/>
      <c r="BZ295" s="501">
        <f>SUM(BZ296:BZ297)</f>
        <v>12.629989999999999</v>
      </c>
      <c r="CA295" s="502"/>
      <c r="CB295" s="503"/>
      <c r="CC295" s="72">
        <f t="shared" si="150"/>
        <v>12.629989999999999</v>
      </c>
      <c r="CD295" s="638"/>
      <c r="CE295" s="639"/>
      <c r="CF295" s="505">
        <f>SUM(CF296:CF297)</f>
        <v>69.25</v>
      </c>
      <c r="CG295" s="465"/>
      <c r="CH295" s="465"/>
      <c r="CI295" s="465"/>
      <c r="CJ295" s="465"/>
      <c r="CK295" s="465"/>
      <c r="CL295" s="465"/>
      <c r="CM295" s="466"/>
      <c r="CN295" s="466"/>
      <c r="CO295" s="466"/>
      <c r="CP295" s="466"/>
      <c r="CQ295" s="466"/>
      <c r="CR295" s="466"/>
      <c r="CS295" s="466"/>
      <c r="CT295" s="466"/>
      <c r="CU295" s="466"/>
      <c r="CV295" s="466"/>
      <c r="CW295" s="466"/>
      <c r="CX295" s="466"/>
      <c r="CY295" s="466"/>
      <c r="CZ295" s="466"/>
      <c r="DA295" s="179"/>
      <c r="DB295" s="179"/>
      <c r="DC295" s="179"/>
      <c r="DD295" s="179"/>
      <c r="DE295" s="179"/>
      <c r="DF295" s="179"/>
      <c r="DG295" s="180"/>
      <c r="DI295" s="826"/>
      <c r="DJ295" s="788"/>
    </row>
    <row r="296" spans="1:114" s="783" customFormat="1" hidden="1">
      <c r="A296" s="194"/>
      <c r="B296" s="195" t="s">
        <v>24</v>
      </c>
      <c r="C296" s="840" t="s">
        <v>54</v>
      </c>
      <c r="D296" s="31"/>
      <c r="E296" s="31"/>
      <c r="F296" s="31"/>
      <c r="G296" s="31"/>
      <c r="H296" s="242"/>
      <c r="I296" s="242"/>
      <c r="J296" s="242"/>
      <c r="K296" s="242"/>
      <c r="L296" s="242"/>
      <c r="M296" s="134">
        <v>5.77</v>
      </c>
      <c r="N296" s="134"/>
      <c r="O296" s="134"/>
      <c r="P296" s="134"/>
      <c r="Q296" s="134"/>
      <c r="R296" s="134"/>
      <c r="S296" s="134"/>
      <c r="T296" s="134"/>
      <c r="U296" s="134"/>
      <c r="V296" s="134"/>
      <c r="W296" s="134">
        <v>5.77</v>
      </c>
      <c r="X296" s="242"/>
      <c r="Y296" s="155"/>
      <c r="Z296" s="242"/>
      <c r="AA296" s="134">
        <v>6.8599899999999998</v>
      </c>
      <c r="AB296" s="134"/>
      <c r="AC296" s="134"/>
      <c r="AD296" s="134"/>
      <c r="AE296" s="134"/>
      <c r="AF296" s="134"/>
      <c r="AG296" s="134"/>
      <c r="AH296" s="134"/>
      <c r="AI296" s="134"/>
      <c r="AJ296" s="242"/>
      <c r="AK296" s="156"/>
      <c r="AL296" s="242"/>
      <c r="AM296" s="134">
        <v>6.8599899999999998</v>
      </c>
      <c r="AN296" s="134"/>
      <c r="AO296" s="134"/>
      <c r="AP296" s="134"/>
      <c r="AQ296" s="134"/>
      <c r="AR296" s="134"/>
      <c r="AS296" s="134"/>
      <c r="AT296" s="134"/>
      <c r="AU296" s="134"/>
      <c r="AV296" s="242"/>
      <c r="AW296" s="156"/>
      <c r="AX296" s="108"/>
      <c r="AY296" s="31"/>
      <c r="AZ296" s="109"/>
      <c r="BA296" s="62"/>
      <c r="BB296" s="62"/>
      <c r="BC296" s="62"/>
      <c r="BD296" s="62"/>
      <c r="BE296" s="110"/>
      <c r="BF296" s="109"/>
      <c r="BG296" s="62"/>
      <c r="BH296" s="62">
        <f>AY296</f>
        <v>0</v>
      </c>
      <c r="BI296" s="110"/>
      <c r="BJ296" s="426">
        <f t="shared" si="152"/>
        <v>0</v>
      </c>
      <c r="BK296" s="427"/>
      <c r="BL296" s="560"/>
      <c r="BM296" s="149">
        <v>6.8599899999999998</v>
      </c>
      <c r="BN296" s="62"/>
      <c r="BO296" s="470"/>
      <c r="BP296" s="485"/>
      <c r="BQ296" s="483"/>
      <c r="BR296" s="486"/>
      <c r="BS296" s="487"/>
      <c r="BT296" s="485"/>
      <c r="BU296" s="483"/>
      <c r="BV296" s="486"/>
      <c r="BW296" s="487"/>
      <c r="BX296" s="440"/>
      <c r="BY296" s="488"/>
      <c r="BZ296" s="489">
        <f>M296+BM296+BQ296+BU296</f>
        <v>12.629989999999999</v>
      </c>
      <c r="CA296" s="490"/>
      <c r="CB296" s="491"/>
      <c r="CC296" s="72">
        <f t="shared" si="150"/>
        <v>12.629989999999999</v>
      </c>
      <c r="CD296" s="562"/>
      <c r="CE296" s="561"/>
      <c r="CF296" s="492">
        <v>68.67</v>
      </c>
      <c r="CG296" s="74"/>
      <c r="CH296" s="74"/>
      <c r="CI296" s="74"/>
      <c r="CJ296" s="74"/>
      <c r="CK296" s="74"/>
      <c r="CL296" s="74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  <c r="CZ296" s="75"/>
      <c r="DA296" s="31"/>
      <c r="DB296" s="31"/>
      <c r="DC296" s="31"/>
      <c r="DD296" s="31"/>
      <c r="DE296" s="31"/>
      <c r="DF296" s="31"/>
      <c r="DG296" s="134"/>
      <c r="DI296" s="826"/>
      <c r="DJ296" s="788"/>
    </row>
    <row r="297" spans="1:114" s="783" customFormat="1" hidden="1">
      <c r="A297" s="194"/>
      <c r="B297" s="195" t="s">
        <v>42</v>
      </c>
      <c r="C297" s="840" t="s">
        <v>54</v>
      </c>
      <c r="D297" s="111"/>
      <c r="E297" s="111"/>
      <c r="F297" s="111"/>
      <c r="G297" s="111"/>
      <c r="H297" s="286"/>
      <c r="I297" s="286"/>
      <c r="J297" s="286"/>
      <c r="K297" s="286"/>
      <c r="L297" s="286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286"/>
      <c r="Y297" s="157"/>
      <c r="Z297" s="286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286"/>
      <c r="AK297" s="158"/>
      <c r="AL297" s="286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286"/>
      <c r="AW297" s="158"/>
      <c r="AX297" s="287"/>
      <c r="AY297" s="144"/>
      <c r="AZ297" s="149"/>
      <c r="BA297" s="150"/>
      <c r="BB297" s="150"/>
      <c r="BC297" s="150"/>
      <c r="BD297" s="150"/>
      <c r="BE297" s="151"/>
      <c r="BF297" s="149"/>
      <c r="BG297" s="150"/>
      <c r="BH297" s="150"/>
      <c r="BI297" s="151"/>
      <c r="BJ297" s="435">
        <f t="shared" si="152"/>
        <v>0</v>
      </c>
      <c r="BK297" s="436"/>
      <c r="BL297" s="640"/>
      <c r="BM297" s="149"/>
      <c r="BN297" s="150"/>
      <c r="BO297" s="484"/>
      <c r="BP297" s="485"/>
      <c r="BQ297" s="483"/>
      <c r="BR297" s="486"/>
      <c r="BS297" s="487"/>
      <c r="BT297" s="485"/>
      <c r="BU297" s="483"/>
      <c r="BV297" s="486"/>
      <c r="BW297" s="487"/>
      <c r="BX297" s="440"/>
      <c r="BY297" s="488"/>
      <c r="BZ297" s="489">
        <f>M297+BM297+BQ297+BU297</f>
        <v>0</v>
      </c>
      <c r="CA297" s="490"/>
      <c r="CB297" s="491"/>
      <c r="CC297" s="246">
        <f t="shared" si="150"/>
        <v>0</v>
      </c>
      <c r="CD297" s="581"/>
      <c r="CE297" s="582"/>
      <c r="CF297" s="492">
        <v>0.57999999999999996</v>
      </c>
      <c r="CG297" s="74"/>
      <c r="CH297" s="74"/>
      <c r="CI297" s="74"/>
      <c r="CJ297" s="74"/>
      <c r="CK297" s="74"/>
      <c r="CL297" s="74"/>
      <c r="CM297" s="75"/>
      <c r="CN297" s="75"/>
      <c r="CO297" s="75"/>
      <c r="CP297" s="75"/>
      <c r="CQ297" s="75"/>
      <c r="CR297" s="75"/>
      <c r="CS297" s="75"/>
      <c r="CT297" s="75"/>
      <c r="CU297" s="75"/>
      <c r="CV297" s="75"/>
      <c r="CW297" s="75"/>
      <c r="CX297" s="75"/>
      <c r="CY297" s="75"/>
      <c r="CZ297" s="75"/>
      <c r="DA297" s="144"/>
      <c r="DB297" s="144"/>
      <c r="DC297" s="111"/>
      <c r="DD297" s="111"/>
      <c r="DE297" s="111"/>
      <c r="DF297" s="111"/>
      <c r="DG297" s="242"/>
      <c r="DI297" s="826"/>
      <c r="DJ297" s="788"/>
    </row>
    <row r="298" spans="1:114" s="783" customFormat="1" hidden="1">
      <c r="A298" s="208" t="s">
        <v>274</v>
      </c>
      <c r="B298" s="160" t="s">
        <v>343</v>
      </c>
      <c r="C298" s="833" t="s">
        <v>54</v>
      </c>
      <c r="D298" s="117">
        <f>D308</f>
        <v>0</v>
      </c>
      <c r="E298" s="117">
        <f>E308</f>
        <v>0</v>
      </c>
      <c r="F298" s="117">
        <f>F308</f>
        <v>0</v>
      </c>
      <c r="G298" s="117">
        <f>G308</f>
        <v>0</v>
      </c>
      <c r="H298" s="117">
        <f t="shared" ref="H298:O298" si="153">H308+H310+H324+H329</f>
        <v>457.05</v>
      </c>
      <c r="I298" s="117">
        <f t="shared" si="153"/>
        <v>121.49</v>
      </c>
      <c r="J298" s="117">
        <f t="shared" si="153"/>
        <v>31.59</v>
      </c>
      <c r="K298" s="117">
        <f t="shared" si="153"/>
        <v>89.9</v>
      </c>
      <c r="L298" s="117">
        <f t="shared" si="153"/>
        <v>55.645000000000003</v>
      </c>
      <c r="M298" s="118">
        <f t="shared" si="153"/>
        <v>69.072520000000011</v>
      </c>
      <c r="N298" s="118">
        <f t="shared" si="153"/>
        <v>43.96</v>
      </c>
      <c r="O298" s="118">
        <f t="shared" si="153"/>
        <v>57.39</v>
      </c>
      <c r="P298" s="118">
        <v>4.3899999999999997</v>
      </c>
      <c r="Q298" s="118"/>
      <c r="R298" s="118">
        <v>11.68</v>
      </c>
      <c r="S298" s="118">
        <f>S308+S310+S324+S329</f>
        <v>3.04</v>
      </c>
      <c r="T298" s="118">
        <f>T308+T310+T324+T329</f>
        <v>8.6479999999999997</v>
      </c>
      <c r="U298" s="118">
        <f>U308+U310+U324+U329</f>
        <v>8.65</v>
      </c>
      <c r="V298" s="118"/>
      <c r="W298" s="118"/>
      <c r="X298" s="118">
        <f>O298-N298</f>
        <v>13.43</v>
      </c>
      <c r="Y298" s="119">
        <f>O298/N298</f>
        <v>1.3055050045495906</v>
      </c>
      <c r="Z298" s="117">
        <f t="shared" ref="Z298:AG298" si="154">Z308+Z310+Z324+Z329</f>
        <v>55.65</v>
      </c>
      <c r="AA298" s="118">
        <f t="shared" si="154"/>
        <v>57.059999999999995</v>
      </c>
      <c r="AB298" s="118">
        <f t="shared" si="154"/>
        <v>43.96</v>
      </c>
      <c r="AC298" s="118">
        <f t="shared" si="154"/>
        <v>0</v>
      </c>
      <c r="AD298" s="118">
        <f t="shared" si="154"/>
        <v>3.04</v>
      </c>
      <c r="AE298" s="118">
        <f t="shared" si="154"/>
        <v>0</v>
      </c>
      <c r="AF298" s="118">
        <f t="shared" si="154"/>
        <v>8.65</v>
      </c>
      <c r="AG298" s="118">
        <f t="shared" si="154"/>
        <v>0</v>
      </c>
      <c r="AH298" s="118"/>
      <c r="AI298" s="118"/>
      <c r="AJ298" s="118">
        <f>AC298-AB298</f>
        <v>-43.96</v>
      </c>
      <c r="AK298" s="120">
        <f>AC298/AB298</f>
        <v>0</v>
      </c>
      <c r="AL298" s="117">
        <f t="shared" ref="AL298:AS298" si="155">AL308+AL310+AL324+AL329</f>
        <v>55.65</v>
      </c>
      <c r="AM298" s="118">
        <f t="shared" si="155"/>
        <v>57.059999999999995</v>
      </c>
      <c r="AN298" s="118">
        <f t="shared" si="155"/>
        <v>43.96</v>
      </c>
      <c r="AO298" s="118">
        <f t="shared" si="155"/>
        <v>0</v>
      </c>
      <c r="AP298" s="118">
        <f t="shared" si="155"/>
        <v>3.04</v>
      </c>
      <c r="AQ298" s="118">
        <f t="shared" si="155"/>
        <v>0</v>
      </c>
      <c r="AR298" s="118">
        <f t="shared" si="155"/>
        <v>8.65</v>
      </c>
      <c r="AS298" s="118">
        <f t="shared" si="155"/>
        <v>0</v>
      </c>
      <c r="AT298" s="118"/>
      <c r="AU298" s="118"/>
      <c r="AV298" s="118">
        <f>AO298-AN298</f>
        <v>-43.96</v>
      </c>
      <c r="AW298" s="120">
        <f>AO298/AN298</f>
        <v>0</v>
      </c>
      <c r="AX298" s="117">
        <f>AX308</f>
        <v>308.88</v>
      </c>
      <c r="AY298" s="117">
        <v>0</v>
      </c>
      <c r="AZ298" s="288">
        <f>AZ308+AZ310+AZ324+AZ329</f>
        <v>0</v>
      </c>
      <c r="BA298" s="289">
        <f t="shared" ref="BA298:BI298" si="156">SUM(BA299,BA301,BA304,BA308,BA310,BA319,BA324,BA327,BA329)</f>
        <v>-130.85</v>
      </c>
      <c r="BB298" s="289">
        <f t="shared" si="156"/>
        <v>0</v>
      </c>
      <c r="BC298" s="289">
        <f t="shared" si="156"/>
        <v>130.85</v>
      </c>
      <c r="BD298" s="289">
        <f t="shared" si="156"/>
        <v>0</v>
      </c>
      <c r="BE298" s="290">
        <f t="shared" si="156"/>
        <v>0</v>
      </c>
      <c r="BF298" s="288">
        <f t="shared" si="156"/>
        <v>0</v>
      </c>
      <c r="BG298" s="289">
        <f t="shared" si="156"/>
        <v>0</v>
      </c>
      <c r="BH298" s="289">
        <f t="shared" si="156"/>
        <v>0</v>
      </c>
      <c r="BI298" s="290">
        <f t="shared" si="156"/>
        <v>0</v>
      </c>
      <c r="BJ298" s="288">
        <f t="shared" si="152"/>
        <v>-130.85</v>
      </c>
      <c r="BK298" s="413" t="e">
        <f>BA298/AZ298</f>
        <v>#DIV/0!</v>
      </c>
      <c r="BL298" s="618"/>
      <c r="BM298" s="121">
        <f>BM308+BM310+BM324+BM329</f>
        <v>57.061379999999993</v>
      </c>
      <c r="BN298" s="122"/>
      <c r="BO298" s="409"/>
      <c r="BP298" s="448"/>
      <c r="BQ298" s="516"/>
      <c r="BR298" s="517"/>
      <c r="BS298" s="518"/>
      <c r="BT298" s="448"/>
      <c r="BU298" s="516"/>
      <c r="BV298" s="517"/>
      <c r="BW298" s="518"/>
      <c r="BX298" s="411">
        <v>883.07</v>
      </c>
      <c r="BY298" s="449">
        <f>F298</f>
        <v>0</v>
      </c>
      <c r="BZ298" s="209">
        <f>M298+BM298+BQ298+BU298</f>
        <v>126.13390000000001</v>
      </c>
      <c r="CA298" s="516">
        <f>BZ298-BY298</f>
        <v>126.13390000000001</v>
      </c>
      <c r="CB298" s="515" t="e">
        <f>BZ298/BY298</f>
        <v>#DIV/0!</v>
      </c>
      <c r="CC298" s="219">
        <f t="shared" si="150"/>
        <v>126.13390000000001</v>
      </c>
      <c r="CD298" s="415">
        <f>SUM(CD309:CD330)</f>
        <v>936.8499999999998</v>
      </c>
      <c r="CE298" s="122">
        <f>SUM(CE309:CE330)</f>
        <v>0</v>
      </c>
      <c r="CF298" s="519">
        <v>0</v>
      </c>
      <c r="CG298" s="450"/>
      <c r="CH298" s="450"/>
      <c r="CI298" s="450"/>
      <c r="CJ298" s="450"/>
      <c r="CK298" s="450"/>
      <c r="CL298" s="450"/>
      <c r="CM298" s="451"/>
      <c r="CN298" s="451"/>
      <c r="CO298" s="451"/>
      <c r="CP298" s="451"/>
      <c r="CQ298" s="451"/>
      <c r="CR298" s="451"/>
      <c r="CS298" s="451"/>
      <c r="CT298" s="451"/>
      <c r="CU298" s="451"/>
      <c r="CV298" s="451"/>
      <c r="CW298" s="451"/>
      <c r="CX298" s="451"/>
      <c r="CY298" s="451"/>
      <c r="CZ298" s="451"/>
      <c r="DA298" s="117">
        <f>DA308+DA310+DA324+DA329+DA301+DA304+DA319+DA299+DA327</f>
        <v>0</v>
      </c>
      <c r="DB298" s="117">
        <f>DB308+DB310+DB324+DB329+DB301+DB304+DB319+DB299+DB327</f>
        <v>0</v>
      </c>
      <c r="DC298" s="117">
        <f>DC308</f>
        <v>0</v>
      </c>
      <c r="DD298" s="117">
        <f>DD308</f>
        <v>0</v>
      </c>
      <c r="DE298" s="117">
        <f>DE308</f>
        <v>0</v>
      </c>
      <c r="DF298" s="117">
        <f>DF308</f>
        <v>0</v>
      </c>
      <c r="DG298" s="117">
        <f>DG308</f>
        <v>0</v>
      </c>
      <c r="DI298" s="826"/>
      <c r="DJ298" s="788"/>
    </row>
    <row r="299" spans="1:114" s="783" customFormat="1" ht="36" hidden="1">
      <c r="A299" s="291" t="s">
        <v>148</v>
      </c>
      <c r="B299" s="292" t="s">
        <v>135</v>
      </c>
      <c r="C299" s="845" t="s">
        <v>54</v>
      </c>
      <c r="D299" s="168"/>
      <c r="E299" s="168"/>
      <c r="F299" s="168"/>
      <c r="G299" s="168"/>
      <c r="H299" s="169"/>
      <c r="I299" s="169"/>
      <c r="J299" s="169"/>
      <c r="K299" s="169"/>
      <c r="L299" s="169"/>
      <c r="M299" s="294"/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  <c r="X299" s="294"/>
      <c r="Y299" s="280"/>
      <c r="Z299" s="169"/>
      <c r="AA299" s="294"/>
      <c r="AB299" s="294"/>
      <c r="AC299" s="294"/>
      <c r="AD299" s="294"/>
      <c r="AE299" s="294"/>
      <c r="AF299" s="294"/>
      <c r="AG299" s="294"/>
      <c r="AH299" s="294"/>
      <c r="AI299" s="294"/>
      <c r="AJ299" s="294"/>
      <c r="AK299" s="281"/>
      <c r="AL299" s="169"/>
      <c r="AM299" s="294"/>
      <c r="AN299" s="294"/>
      <c r="AO299" s="294"/>
      <c r="AP299" s="294"/>
      <c r="AQ299" s="294"/>
      <c r="AR299" s="294"/>
      <c r="AS299" s="294"/>
      <c r="AT299" s="294"/>
      <c r="AU299" s="294"/>
      <c r="AV299" s="294"/>
      <c r="AW299" s="281"/>
      <c r="AX299" s="173"/>
      <c r="AY299" s="295"/>
      <c r="AZ299" s="296"/>
      <c r="BA299" s="297"/>
      <c r="BB299" s="297"/>
      <c r="BC299" s="297"/>
      <c r="BD299" s="297"/>
      <c r="BE299" s="298"/>
      <c r="BF299" s="296"/>
      <c r="BG299" s="297"/>
      <c r="BH299" s="297"/>
      <c r="BI299" s="298">
        <f>SUM(BI300:BI300)</f>
        <v>0</v>
      </c>
      <c r="BJ299" s="641"/>
      <c r="BK299" s="10"/>
      <c r="BL299" s="642"/>
      <c r="BM299" s="624"/>
      <c r="BN299" s="643"/>
      <c r="BO299" s="644"/>
      <c r="BP299" s="625"/>
      <c r="BQ299" s="626"/>
      <c r="BR299" s="645"/>
      <c r="BS299" s="628"/>
      <c r="BT299" s="625"/>
      <c r="BU299" s="626"/>
      <c r="BV299" s="645"/>
      <c r="BW299" s="628"/>
      <c r="BX299" s="629"/>
      <c r="BY299" s="630"/>
      <c r="BZ299" s="631"/>
      <c r="CA299" s="626"/>
      <c r="CB299" s="633"/>
      <c r="CC299" s="22"/>
      <c r="CD299" s="646"/>
      <c r="CE299" s="643"/>
      <c r="CF299" s="636"/>
      <c r="CG299" s="647"/>
      <c r="CH299" s="647"/>
      <c r="CI299" s="647"/>
      <c r="CJ299" s="647"/>
      <c r="CK299" s="647"/>
      <c r="CL299" s="647"/>
      <c r="CM299" s="648"/>
      <c r="CN299" s="648"/>
      <c r="CO299" s="648"/>
      <c r="CP299" s="648"/>
      <c r="CQ299" s="648"/>
      <c r="CR299" s="648"/>
      <c r="CS299" s="648"/>
      <c r="CT299" s="648"/>
      <c r="CU299" s="648"/>
      <c r="CV299" s="648"/>
      <c r="CW299" s="648"/>
      <c r="CX299" s="648"/>
      <c r="CY299" s="648"/>
      <c r="CZ299" s="648"/>
      <c r="DA299" s="295"/>
      <c r="DB299" s="295"/>
      <c r="DC299" s="168"/>
      <c r="DD299" s="168"/>
      <c r="DE299" s="168"/>
      <c r="DF299" s="168"/>
      <c r="DG299" s="180"/>
      <c r="DI299" s="826"/>
      <c r="DJ299" s="788"/>
    </row>
    <row r="300" spans="1:114" s="783" customFormat="1" hidden="1">
      <c r="A300" s="37"/>
      <c r="B300" s="1" t="s">
        <v>234</v>
      </c>
      <c r="C300" s="837" t="s">
        <v>54</v>
      </c>
      <c r="D300" s="31"/>
      <c r="E300" s="31"/>
      <c r="F300" s="31"/>
      <c r="G300" s="31"/>
      <c r="H300" s="3"/>
      <c r="I300" s="3"/>
      <c r="J300" s="3"/>
      <c r="K300" s="3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5"/>
      <c r="Z300" s="3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6"/>
      <c r="AL300" s="3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6"/>
      <c r="AX300" s="31"/>
      <c r="AY300" s="90"/>
      <c r="AZ300" s="86"/>
      <c r="BA300" s="40"/>
      <c r="BB300" s="40"/>
      <c r="BC300" s="40"/>
      <c r="BD300" s="40"/>
      <c r="BE300" s="41"/>
      <c r="BF300" s="86"/>
      <c r="BG300" s="40"/>
      <c r="BH300" s="40"/>
      <c r="BI300" s="41">
        <f>AY300</f>
        <v>0</v>
      </c>
      <c r="BJ300" s="9"/>
      <c r="BK300" s="10"/>
      <c r="BL300" s="11"/>
      <c r="BM300" s="2"/>
      <c r="BN300" s="12"/>
      <c r="BO300" s="13"/>
      <c r="BP300" s="14"/>
      <c r="BQ300" s="15"/>
      <c r="BR300" s="16"/>
      <c r="BS300" s="17"/>
      <c r="BT300" s="14"/>
      <c r="BU300" s="15"/>
      <c r="BV300" s="16"/>
      <c r="BW300" s="17"/>
      <c r="BX300" s="18"/>
      <c r="BY300" s="19"/>
      <c r="BZ300" s="20"/>
      <c r="CA300" s="15"/>
      <c r="CB300" s="21"/>
      <c r="CC300" s="22"/>
      <c r="CD300" s="23"/>
      <c r="CE300" s="12"/>
      <c r="CF300" s="24"/>
      <c r="CG300" s="25"/>
      <c r="CH300" s="25"/>
      <c r="CI300" s="25"/>
      <c r="CJ300" s="25"/>
      <c r="CK300" s="25"/>
      <c r="CL300" s="25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90"/>
      <c r="DB300" s="90"/>
      <c r="DC300" s="31"/>
      <c r="DD300" s="31"/>
      <c r="DE300" s="31"/>
      <c r="DF300" s="31"/>
      <c r="DG300" s="134"/>
      <c r="DI300" s="826"/>
      <c r="DJ300" s="788"/>
    </row>
    <row r="301" spans="1:114" s="783" customFormat="1" hidden="1">
      <c r="A301" s="299" t="s">
        <v>148</v>
      </c>
      <c r="B301" s="300" t="s">
        <v>123</v>
      </c>
      <c r="C301" s="846" t="s">
        <v>54</v>
      </c>
      <c r="D301" s="179"/>
      <c r="E301" s="179"/>
      <c r="F301" s="179"/>
      <c r="G301" s="179"/>
      <c r="H301" s="169"/>
      <c r="I301" s="169"/>
      <c r="J301" s="169"/>
      <c r="K301" s="169"/>
      <c r="L301" s="169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80"/>
      <c r="Z301" s="169"/>
      <c r="AA301" s="294"/>
      <c r="AB301" s="294"/>
      <c r="AC301" s="294"/>
      <c r="AD301" s="294"/>
      <c r="AE301" s="294"/>
      <c r="AF301" s="294"/>
      <c r="AG301" s="294"/>
      <c r="AH301" s="294"/>
      <c r="AI301" s="294"/>
      <c r="AJ301" s="294"/>
      <c r="AK301" s="281"/>
      <c r="AL301" s="169"/>
      <c r="AM301" s="294"/>
      <c r="AN301" s="294"/>
      <c r="AO301" s="294"/>
      <c r="AP301" s="294"/>
      <c r="AQ301" s="294"/>
      <c r="AR301" s="294"/>
      <c r="AS301" s="294"/>
      <c r="AT301" s="294"/>
      <c r="AU301" s="294"/>
      <c r="AV301" s="294"/>
      <c r="AW301" s="281"/>
      <c r="AX301" s="173"/>
      <c r="AY301" s="302"/>
      <c r="AZ301" s="303"/>
      <c r="BA301" s="304"/>
      <c r="BB301" s="304"/>
      <c r="BC301" s="304"/>
      <c r="BD301" s="304"/>
      <c r="BE301" s="305"/>
      <c r="BF301" s="303"/>
      <c r="BG301" s="304"/>
      <c r="BH301" s="304"/>
      <c r="BI301" s="305">
        <f>SUM(BI302:BI303)</f>
        <v>0</v>
      </c>
      <c r="BJ301" s="641"/>
      <c r="BK301" s="10"/>
      <c r="BL301" s="642"/>
      <c r="BM301" s="624"/>
      <c r="BN301" s="643"/>
      <c r="BO301" s="644"/>
      <c r="BP301" s="625"/>
      <c r="BQ301" s="626"/>
      <c r="BR301" s="645"/>
      <c r="BS301" s="628"/>
      <c r="BT301" s="625"/>
      <c r="BU301" s="626"/>
      <c r="BV301" s="645"/>
      <c r="BW301" s="628"/>
      <c r="BX301" s="629"/>
      <c r="BY301" s="630"/>
      <c r="BZ301" s="631"/>
      <c r="CA301" s="626"/>
      <c r="CB301" s="633"/>
      <c r="CC301" s="22"/>
      <c r="CD301" s="646"/>
      <c r="CE301" s="643"/>
      <c r="CF301" s="636"/>
      <c r="CG301" s="647"/>
      <c r="CH301" s="647"/>
      <c r="CI301" s="647"/>
      <c r="CJ301" s="647"/>
      <c r="CK301" s="647"/>
      <c r="CL301" s="647"/>
      <c r="CM301" s="648"/>
      <c r="CN301" s="648"/>
      <c r="CO301" s="648"/>
      <c r="CP301" s="648"/>
      <c r="CQ301" s="648"/>
      <c r="CR301" s="648"/>
      <c r="CS301" s="648"/>
      <c r="CT301" s="648"/>
      <c r="CU301" s="648"/>
      <c r="CV301" s="648"/>
      <c r="CW301" s="648"/>
      <c r="CX301" s="648"/>
      <c r="CY301" s="648"/>
      <c r="CZ301" s="648"/>
      <c r="DA301" s="302"/>
      <c r="DB301" s="302"/>
      <c r="DC301" s="179"/>
      <c r="DD301" s="179"/>
      <c r="DE301" s="179"/>
      <c r="DF301" s="179"/>
      <c r="DG301" s="180"/>
      <c r="DI301" s="826"/>
      <c r="DJ301" s="788"/>
    </row>
    <row r="302" spans="1:114" s="783" customFormat="1" hidden="1">
      <c r="A302" s="37"/>
      <c r="B302" s="1" t="s">
        <v>125</v>
      </c>
      <c r="C302" s="837" t="s">
        <v>54</v>
      </c>
      <c r="D302" s="31"/>
      <c r="E302" s="31"/>
      <c r="F302" s="31"/>
      <c r="G302" s="31"/>
      <c r="H302" s="3"/>
      <c r="I302" s="3"/>
      <c r="J302" s="3"/>
      <c r="K302" s="3"/>
      <c r="L302" s="3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5"/>
      <c r="Z302" s="3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6"/>
      <c r="AL302" s="3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6"/>
      <c r="AX302" s="31"/>
      <c r="AY302" s="91"/>
      <c r="AZ302" s="87"/>
      <c r="BA302" s="7"/>
      <c r="BB302" s="7"/>
      <c r="BC302" s="7"/>
      <c r="BD302" s="7"/>
      <c r="BE302" s="8"/>
      <c r="BF302" s="87"/>
      <c r="BG302" s="7"/>
      <c r="BH302" s="7"/>
      <c r="BI302" s="8">
        <f>AY302</f>
        <v>0</v>
      </c>
      <c r="BJ302" s="9"/>
      <c r="BK302" s="10"/>
      <c r="BL302" s="11"/>
      <c r="BM302" s="2"/>
      <c r="BN302" s="12"/>
      <c r="BO302" s="13"/>
      <c r="BP302" s="14"/>
      <c r="BQ302" s="15"/>
      <c r="BR302" s="16"/>
      <c r="BS302" s="17"/>
      <c r="BT302" s="14"/>
      <c r="BU302" s="15"/>
      <c r="BV302" s="16"/>
      <c r="BW302" s="17"/>
      <c r="BX302" s="18"/>
      <c r="BY302" s="19"/>
      <c r="BZ302" s="20"/>
      <c r="CA302" s="15"/>
      <c r="CB302" s="21"/>
      <c r="CC302" s="22"/>
      <c r="CD302" s="23"/>
      <c r="CE302" s="12"/>
      <c r="CF302" s="24"/>
      <c r="CG302" s="25"/>
      <c r="CH302" s="25"/>
      <c r="CI302" s="25"/>
      <c r="CJ302" s="25"/>
      <c r="CK302" s="25"/>
      <c r="CL302" s="25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91"/>
      <c r="DB302" s="91"/>
      <c r="DC302" s="31"/>
      <c r="DD302" s="31"/>
      <c r="DE302" s="31"/>
      <c r="DF302" s="31"/>
      <c r="DG302" s="134"/>
      <c r="DI302" s="826"/>
      <c r="DJ302" s="788"/>
    </row>
    <row r="303" spans="1:114" s="783" customFormat="1" hidden="1">
      <c r="A303" s="37"/>
      <c r="B303" s="1" t="s">
        <v>132</v>
      </c>
      <c r="C303" s="837" t="s">
        <v>54</v>
      </c>
      <c r="D303" s="31"/>
      <c r="E303" s="31"/>
      <c r="F303" s="31"/>
      <c r="G303" s="31"/>
      <c r="H303" s="3"/>
      <c r="I303" s="3"/>
      <c r="J303" s="3"/>
      <c r="K303" s="3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5"/>
      <c r="Z303" s="3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6"/>
      <c r="AL303" s="3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6"/>
      <c r="AX303" s="31"/>
      <c r="AY303" s="91"/>
      <c r="AZ303" s="87"/>
      <c r="BA303" s="7"/>
      <c r="BB303" s="7"/>
      <c r="BC303" s="7"/>
      <c r="BD303" s="7"/>
      <c r="BE303" s="8"/>
      <c r="BF303" s="87"/>
      <c r="BG303" s="7"/>
      <c r="BH303" s="7"/>
      <c r="BI303" s="8">
        <f>AY303</f>
        <v>0</v>
      </c>
      <c r="BJ303" s="9"/>
      <c r="BK303" s="10"/>
      <c r="BL303" s="11"/>
      <c r="BM303" s="2"/>
      <c r="BN303" s="12"/>
      <c r="BO303" s="13"/>
      <c r="BP303" s="14"/>
      <c r="BQ303" s="15"/>
      <c r="BR303" s="16"/>
      <c r="BS303" s="17"/>
      <c r="BT303" s="14"/>
      <c r="BU303" s="15"/>
      <c r="BV303" s="16"/>
      <c r="BW303" s="17"/>
      <c r="BX303" s="18"/>
      <c r="BY303" s="19"/>
      <c r="BZ303" s="20"/>
      <c r="CA303" s="15"/>
      <c r="CB303" s="21"/>
      <c r="CC303" s="22"/>
      <c r="CD303" s="23"/>
      <c r="CE303" s="12"/>
      <c r="CF303" s="24"/>
      <c r="CG303" s="25"/>
      <c r="CH303" s="25"/>
      <c r="CI303" s="25"/>
      <c r="CJ303" s="25"/>
      <c r="CK303" s="25"/>
      <c r="CL303" s="25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91"/>
      <c r="DB303" s="91"/>
      <c r="DC303" s="31"/>
      <c r="DD303" s="31"/>
      <c r="DE303" s="31"/>
      <c r="DF303" s="31"/>
      <c r="DG303" s="134"/>
      <c r="DI303" s="826"/>
      <c r="DJ303" s="788"/>
    </row>
    <row r="304" spans="1:114" s="783" customFormat="1" hidden="1">
      <c r="A304" s="299" t="s">
        <v>149</v>
      </c>
      <c r="B304" s="300" t="s">
        <v>124</v>
      </c>
      <c r="C304" s="847" t="s">
        <v>54</v>
      </c>
      <c r="D304" s="179"/>
      <c r="E304" s="179"/>
      <c r="F304" s="179"/>
      <c r="G304" s="179"/>
      <c r="H304" s="169"/>
      <c r="I304" s="169"/>
      <c r="J304" s="169"/>
      <c r="K304" s="169"/>
      <c r="L304" s="169"/>
      <c r="M304" s="294"/>
      <c r="N304" s="294"/>
      <c r="O304" s="294"/>
      <c r="P304" s="294"/>
      <c r="Q304" s="294"/>
      <c r="R304" s="294"/>
      <c r="S304" s="294"/>
      <c r="T304" s="294"/>
      <c r="U304" s="294"/>
      <c r="V304" s="294"/>
      <c r="W304" s="294"/>
      <c r="X304" s="294"/>
      <c r="Y304" s="280"/>
      <c r="Z304" s="169"/>
      <c r="AA304" s="294"/>
      <c r="AB304" s="294"/>
      <c r="AC304" s="294"/>
      <c r="AD304" s="294"/>
      <c r="AE304" s="294"/>
      <c r="AF304" s="294"/>
      <c r="AG304" s="294"/>
      <c r="AH304" s="294"/>
      <c r="AI304" s="294"/>
      <c r="AJ304" s="294"/>
      <c r="AK304" s="281"/>
      <c r="AL304" s="169"/>
      <c r="AM304" s="294"/>
      <c r="AN304" s="294"/>
      <c r="AO304" s="294"/>
      <c r="AP304" s="294"/>
      <c r="AQ304" s="294"/>
      <c r="AR304" s="294"/>
      <c r="AS304" s="294"/>
      <c r="AT304" s="294"/>
      <c r="AU304" s="294"/>
      <c r="AV304" s="294"/>
      <c r="AW304" s="281"/>
      <c r="AX304" s="179"/>
      <c r="AY304" s="302"/>
      <c r="AZ304" s="303"/>
      <c r="BA304" s="304"/>
      <c r="BB304" s="304"/>
      <c r="BC304" s="304"/>
      <c r="BD304" s="304"/>
      <c r="BE304" s="305"/>
      <c r="BF304" s="303"/>
      <c r="BG304" s="304"/>
      <c r="BH304" s="304"/>
      <c r="BI304" s="305">
        <f>SUM(BI307)</f>
        <v>0</v>
      </c>
      <c r="BJ304" s="641"/>
      <c r="BK304" s="10"/>
      <c r="BL304" s="649"/>
      <c r="BM304" s="624"/>
      <c r="BN304" s="643"/>
      <c r="BO304" s="644"/>
      <c r="BP304" s="625"/>
      <c r="BQ304" s="626"/>
      <c r="BR304" s="645"/>
      <c r="BS304" s="628"/>
      <c r="BT304" s="625"/>
      <c r="BU304" s="626"/>
      <c r="BV304" s="645"/>
      <c r="BW304" s="628"/>
      <c r="BX304" s="629"/>
      <c r="BY304" s="630"/>
      <c r="BZ304" s="631"/>
      <c r="CA304" s="626"/>
      <c r="CB304" s="633"/>
      <c r="CC304" s="22"/>
      <c r="CD304" s="646"/>
      <c r="CE304" s="643"/>
      <c r="CF304" s="636"/>
      <c r="CG304" s="647"/>
      <c r="CH304" s="647"/>
      <c r="CI304" s="647"/>
      <c r="CJ304" s="647"/>
      <c r="CK304" s="647"/>
      <c r="CL304" s="647"/>
      <c r="CM304" s="648"/>
      <c r="CN304" s="648"/>
      <c r="CO304" s="648"/>
      <c r="CP304" s="648"/>
      <c r="CQ304" s="648"/>
      <c r="CR304" s="648"/>
      <c r="CS304" s="648"/>
      <c r="CT304" s="648"/>
      <c r="CU304" s="648"/>
      <c r="CV304" s="648"/>
      <c r="CW304" s="648"/>
      <c r="CX304" s="648"/>
      <c r="CY304" s="648"/>
      <c r="CZ304" s="648"/>
      <c r="DA304" s="302"/>
      <c r="DB304" s="302"/>
      <c r="DC304" s="179"/>
      <c r="DD304" s="179"/>
      <c r="DE304" s="179"/>
      <c r="DF304" s="179"/>
      <c r="DG304" s="180"/>
      <c r="DI304" s="826"/>
      <c r="DJ304" s="788"/>
    </row>
    <row r="305" spans="1:114" s="783" customFormat="1" ht="24" hidden="1">
      <c r="A305" s="37"/>
      <c r="B305" s="1" t="s">
        <v>126</v>
      </c>
      <c r="C305" s="837" t="s">
        <v>54</v>
      </c>
      <c r="D305" s="31"/>
      <c r="E305" s="31"/>
      <c r="F305" s="31"/>
      <c r="G305" s="31"/>
      <c r="H305" s="3"/>
      <c r="I305" s="3"/>
      <c r="J305" s="3"/>
      <c r="K305" s="3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5"/>
      <c r="Z305" s="3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6"/>
      <c r="AL305" s="3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6"/>
      <c r="AX305" s="31"/>
      <c r="AY305" s="91"/>
      <c r="AZ305" s="87"/>
      <c r="BA305" s="7"/>
      <c r="BB305" s="7"/>
      <c r="BC305" s="7"/>
      <c r="BD305" s="7"/>
      <c r="BE305" s="8"/>
      <c r="BF305" s="87"/>
      <c r="BG305" s="7"/>
      <c r="BH305" s="7"/>
      <c r="BI305" s="8">
        <f>AY305</f>
        <v>0</v>
      </c>
      <c r="BJ305" s="9"/>
      <c r="BK305" s="10"/>
      <c r="BL305" s="11"/>
      <c r="BM305" s="2"/>
      <c r="BN305" s="12"/>
      <c r="BO305" s="13"/>
      <c r="BP305" s="14"/>
      <c r="BQ305" s="15"/>
      <c r="BR305" s="16"/>
      <c r="BS305" s="17"/>
      <c r="BT305" s="14"/>
      <c r="BU305" s="15"/>
      <c r="BV305" s="16"/>
      <c r="BW305" s="17"/>
      <c r="BX305" s="18"/>
      <c r="BY305" s="19"/>
      <c r="BZ305" s="20"/>
      <c r="CA305" s="15"/>
      <c r="CB305" s="21"/>
      <c r="CC305" s="22"/>
      <c r="CD305" s="23"/>
      <c r="CE305" s="12"/>
      <c r="CF305" s="24"/>
      <c r="CG305" s="25"/>
      <c r="CH305" s="25"/>
      <c r="CI305" s="25"/>
      <c r="CJ305" s="25"/>
      <c r="CK305" s="25"/>
      <c r="CL305" s="25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91"/>
      <c r="DB305" s="91"/>
      <c r="DC305" s="31"/>
      <c r="DD305" s="31"/>
      <c r="DE305" s="31"/>
      <c r="DF305" s="31"/>
      <c r="DG305" s="134"/>
      <c r="DI305" s="826"/>
      <c r="DJ305" s="788"/>
    </row>
    <row r="306" spans="1:114" s="783" customFormat="1" hidden="1">
      <c r="A306" s="38"/>
      <c r="B306" s="32" t="s">
        <v>132</v>
      </c>
      <c r="C306" s="837" t="s">
        <v>54</v>
      </c>
      <c r="D306" s="31"/>
      <c r="E306" s="31"/>
      <c r="F306" s="31"/>
      <c r="G306" s="31"/>
      <c r="H306" s="3"/>
      <c r="I306" s="3"/>
      <c r="J306" s="3"/>
      <c r="K306" s="3"/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5"/>
      <c r="Z306" s="3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6"/>
      <c r="AL306" s="3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6"/>
      <c r="AX306" s="33"/>
      <c r="AY306" s="92"/>
      <c r="AZ306" s="88"/>
      <c r="BA306" s="34"/>
      <c r="BB306" s="34"/>
      <c r="BC306" s="34"/>
      <c r="BD306" s="34"/>
      <c r="BE306" s="35"/>
      <c r="BF306" s="88"/>
      <c r="BG306" s="34"/>
      <c r="BH306" s="34"/>
      <c r="BI306" s="35">
        <f>AY306</f>
        <v>0</v>
      </c>
      <c r="BJ306" s="9"/>
      <c r="BK306" s="10"/>
      <c r="BL306" s="36"/>
      <c r="BM306" s="2"/>
      <c r="BN306" s="12"/>
      <c r="BO306" s="13"/>
      <c r="BP306" s="14"/>
      <c r="BQ306" s="15"/>
      <c r="BR306" s="16"/>
      <c r="BS306" s="17"/>
      <c r="BT306" s="14"/>
      <c r="BU306" s="15"/>
      <c r="BV306" s="16"/>
      <c r="BW306" s="17"/>
      <c r="BX306" s="18"/>
      <c r="BY306" s="19"/>
      <c r="BZ306" s="20"/>
      <c r="CA306" s="15"/>
      <c r="CB306" s="21"/>
      <c r="CC306" s="22"/>
      <c r="CD306" s="23"/>
      <c r="CE306" s="12"/>
      <c r="CF306" s="24"/>
      <c r="CG306" s="25"/>
      <c r="CH306" s="25"/>
      <c r="CI306" s="25"/>
      <c r="CJ306" s="25"/>
      <c r="CK306" s="25"/>
      <c r="CL306" s="25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92"/>
      <c r="DB306" s="92"/>
      <c r="DC306" s="31"/>
      <c r="DD306" s="31"/>
      <c r="DE306" s="31"/>
      <c r="DF306" s="31"/>
      <c r="DG306" s="134"/>
      <c r="DI306" s="826"/>
      <c r="DJ306" s="788"/>
    </row>
    <row r="307" spans="1:114" s="783" customFormat="1" hidden="1">
      <c r="A307" s="38"/>
      <c r="B307" s="32" t="s">
        <v>132</v>
      </c>
      <c r="C307" s="836"/>
      <c r="D307" s="31"/>
      <c r="E307" s="31"/>
      <c r="F307" s="31"/>
      <c r="G307" s="31"/>
      <c r="H307" s="3"/>
      <c r="I307" s="3"/>
      <c r="J307" s="3"/>
      <c r="K307" s="3"/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5"/>
      <c r="Z307" s="3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6"/>
      <c r="AL307" s="3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6"/>
      <c r="AX307" s="33"/>
      <c r="AY307" s="92"/>
      <c r="AZ307" s="88"/>
      <c r="BA307" s="34"/>
      <c r="BB307" s="34"/>
      <c r="BC307" s="34"/>
      <c r="BD307" s="34"/>
      <c r="BE307" s="35"/>
      <c r="BF307" s="88"/>
      <c r="BG307" s="34"/>
      <c r="BH307" s="34"/>
      <c r="BI307" s="35">
        <f>AY307</f>
        <v>0</v>
      </c>
      <c r="BJ307" s="9"/>
      <c r="BK307" s="10"/>
      <c r="BL307" s="36"/>
      <c r="BM307" s="2"/>
      <c r="BN307" s="12"/>
      <c r="BO307" s="13"/>
      <c r="BP307" s="14"/>
      <c r="BQ307" s="15"/>
      <c r="BR307" s="16"/>
      <c r="BS307" s="17"/>
      <c r="BT307" s="14"/>
      <c r="BU307" s="15"/>
      <c r="BV307" s="16"/>
      <c r="BW307" s="17"/>
      <c r="BX307" s="18"/>
      <c r="BY307" s="19"/>
      <c r="BZ307" s="20"/>
      <c r="CA307" s="15"/>
      <c r="CB307" s="21"/>
      <c r="CC307" s="22"/>
      <c r="CD307" s="23"/>
      <c r="CE307" s="12"/>
      <c r="CF307" s="24"/>
      <c r="CG307" s="25"/>
      <c r="CH307" s="25"/>
      <c r="CI307" s="25"/>
      <c r="CJ307" s="25"/>
      <c r="CK307" s="25"/>
      <c r="CL307" s="25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92"/>
      <c r="DB307" s="92"/>
      <c r="DC307" s="31"/>
      <c r="DD307" s="31"/>
      <c r="DE307" s="31"/>
      <c r="DF307" s="31"/>
      <c r="DG307" s="134"/>
      <c r="DI307" s="826"/>
      <c r="DJ307" s="788"/>
    </row>
    <row r="308" spans="1:114" s="783" customFormat="1" hidden="1">
      <c r="A308" s="165" t="s">
        <v>142</v>
      </c>
      <c r="B308" s="166" t="s">
        <v>100</v>
      </c>
      <c r="C308" s="848" t="s">
        <v>54</v>
      </c>
      <c r="D308" s="310"/>
      <c r="E308" s="310"/>
      <c r="F308" s="310"/>
      <c r="G308" s="310"/>
      <c r="H308" s="311">
        <f>SUM(H309)</f>
        <v>457.05</v>
      </c>
      <c r="I308" s="311">
        <f>SUM(I309)</f>
        <v>121.49</v>
      </c>
      <c r="J308" s="311">
        <f>SUM(J309)</f>
        <v>31.59</v>
      </c>
      <c r="K308" s="311">
        <f>SUM(K309)</f>
        <v>89.9</v>
      </c>
      <c r="L308" s="169">
        <f t="shared" ref="L308:U308" si="157">L309</f>
        <v>55.645000000000003</v>
      </c>
      <c r="M308" s="294">
        <f t="shared" si="157"/>
        <v>55.645710000000001</v>
      </c>
      <c r="N308" s="294">
        <f t="shared" si="157"/>
        <v>43.96</v>
      </c>
      <c r="O308" s="294">
        <f t="shared" si="157"/>
        <v>43.96</v>
      </c>
      <c r="P308" s="294"/>
      <c r="Q308" s="294"/>
      <c r="R308" s="294">
        <f t="shared" si="157"/>
        <v>3.0379999999999998</v>
      </c>
      <c r="S308" s="294">
        <f t="shared" si="157"/>
        <v>3.04</v>
      </c>
      <c r="T308" s="294">
        <f t="shared" si="157"/>
        <v>8.6479999999999997</v>
      </c>
      <c r="U308" s="294">
        <f t="shared" si="157"/>
        <v>8.65</v>
      </c>
      <c r="V308" s="294"/>
      <c r="W308" s="294"/>
      <c r="X308" s="294">
        <f>O308-N308</f>
        <v>0</v>
      </c>
      <c r="Y308" s="280">
        <f>O308/N308</f>
        <v>1</v>
      </c>
      <c r="Z308" s="169">
        <f t="shared" ref="Z308:AG308" si="158">Z309</f>
        <v>55.65</v>
      </c>
      <c r="AA308" s="294">
        <f t="shared" si="158"/>
        <v>49.05</v>
      </c>
      <c r="AB308" s="294">
        <f t="shared" si="158"/>
        <v>43.96</v>
      </c>
      <c r="AC308" s="294">
        <f t="shared" si="158"/>
        <v>0</v>
      </c>
      <c r="AD308" s="294">
        <f t="shared" si="158"/>
        <v>3.04</v>
      </c>
      <c r="AE308" s="294">
        <f t="shared" si="158"/>
        <v>0</v>
      </c>
      <c r="AF308" s="294">
        <f t="shared" si="158"/>
        <v>8.65</v>
      </c>
      <c r="AG308" s="294">
        <f t="shared" si="158"/>
        <v>0</v>
      </c>
      <c r="AH308" s="294"/>
      <c r="AI308" s="294"/>
      <c r="AJ308" s="294">
        <f>AC308-AB308</f>
        <v>-43.96</v>
      </c>
      <c r="AK308" s="281">
        <f>AC308/AB308</f>
        <v>0</v>
      </c>
      <c r="AL308" s="169">
        <f t="shared" ref="AL308:AS308" si="159">AL309</f>
        <v>55.65</v>
      </c>
      <c r="AM308" s="294">
        <f t="shared" si="159"/>
        <v>49.05</v>
      </c>
      <c r="AN308" s="294">
        <f t="shared" si="159"/>
        <v>43.96</v>
      </c>
      <c r="AO308" s="294">
        <f t="shared" si="159"/>
        <v>0</v>
      </c>
      <c r="AP308" s="294">
        <f t="shared" si="159"/>
        <v>3.04</v>
      </c>
      <c r="AQ308" s="294">
        <f t="shared" si="159"/>
        <v>0</v>
      </c>
      <c r="AR308" s="294">
        <f t="shared" si="159"/>
        <v>8.65</v>
      </c>
      <c r="AS308" s="294">
        <f t="shared" si="159"/>
        <v>0</v>
      </c>
      <c r="AT308" s="294"/>
      <c r="AU308" s="294"/>
      <c r="AV308" s="294">
        <f>AO308-AN308</f>
        <v>-43.96</v>
      </c>
      <c r="AW308" s="281">
        <f>AO308/AN308</f>
        <v>0</v>
      </c>
      <c r="AX308" s="167">
        <f>SUM(AX309)</f>
        <v>308.88</v>
      </c>
      <c r="AY308" s="312">
        <f t="shared" ref="AY308:BD308" si="160">AY309</f>
        <v>0</v>
      </c>
      <c r="AZ308" s="313">
        <f t="shared" si="160"/>
        <v>0</v>
      </c>
      <c r="BA308" s="314">
        <f>SUM(BA309)</f>
        <v>-130.85</v>
      </c>
      <c r="BB308" s="314">
        <f t="shared" si="160"/>
        <v>0</v>
      </c>
      <c r="BC308" s="314">
        <f>BC309</f>
        <v>130.85</v>
      </c>
      <c r="BD308" s="314">
        <f t="shared" si="160"/>
        <v>0</v>
      </c>
      <c r="BE308" s="315"/>
      <c r="BF308" s="313"/>
      <c r="BG308" s="314"/>
      <c r="BH308" s="314"/>
      <c r="BI308" s="315"/>
      <c r="BJ308" s="417">
        <f>BA308-AZ308</f>
        <v>-130.85</v>
      </c>
      <c r="BK308" s="418" t="e">
        <f>BA308/AZ308</f>
        <v>#DIV/0!</v>
      </c>
      <c r="BL308" s="623"/>
      <c r="BM308" s="174">
        <f>BM309</f>
        <v>49.047379999999997</v>
      </c>
      <c r="BN308" s="175"/>
      <c r="BO308" s="507"/>
      <c r="BP308" s="456"/>
      <c r="BQ308" s="454"/>
      <c r="BR308" s="457"/>
      <c r="BS308" s="458"/>
      <c r="BT308" s="456"/>
      <c r="BU308" s="454"/>
      <c r="BV308" s="457"/>
      <c r="BW308" s="458"/>
      <c r="BX308" s="459"/>
      <c r="BY308" s="460"/>
      <c r="BZ308" s="461"/>
      <c r="CA308" s="454"/>
      <c r="CB308" s="462"/>
      <c r="CC308" s="309"/>
      <c r="CD308" s="463"/>
      <c r="CE308" s="175"/>
      <c r="CF308" s="464"/>
      <c r="CG308" s="650"/>
      <c r="CH308" s="650"/>
      <c r="CI308" s="650"/>
      <c r="CJ308" s="650"/>
      <c r="CK308" s="650"/>
      <c r="CL308" s="650"/>
      <c r="CM308" s="651"/>
      <c r="CN308" s="651"/>
      <c r="CO308" s="651"/>
      <c r="CP308" s="651"/>
      <c r="CQ308" s="651"/>
      <c r="CR308" s="651"/>
      <c r="CS308" s="651"/>
      <c r="CT308" s="651"/>
      <c r="CU308" s="651"/>
      <c r="CV308" s="651"/>
      <c r="CW308" s="651"/>
      <c r="CX308" s="651"/>
      <c r="CY308" s="651"/>
      <c r="CZ308" s="651"/>
      <c r="DA308" s="312">
        <f>DA309</f>
        <v>0</v>
      </c>
      <c r="DB308" s="312">
        <f>DB309</f>
        <v>0</v>
      </c>
      <c r="DC308" s="310"/>
      <c r="DD308" s="310"/>
      <c r="DE308" s="310"/>
      <c r="DF308" s="310"/>
      <c r="DG308" s="849"/>
      <c r="DI308" s="826"/>
      <c r="DJ308" s="788"/>
    </row>
    <row r="309" spans="1:114" s="783" customFormat="1" hidden="1">
      <c r="A309" s="38"/>
      <c r="B309" s="316" t="s">
        <v>44</v>
      </c>
      <c r="C309" s="850" t="s">
        <v>54</v>
      </c>
      <c r="D309" s="69"/>
      <c r="E309" s="69"/>
      <c r="F309" s="69"/>
      <c r="G309" s="69"/>
      <c r="H309" s="51">
        <v>457.05</v>
      </c>
      <c r="I309" s="51">
        <v>121.49</v>
      </c>
      <c r="J309" s="51">
        <v>31.59</v>
      </c>
      <c r="K309" s="51">
        <v>89.9</v>
      </c>
      <c r="L309" s="53">
        <v>55.645000000000003</v>
      </c>
      <c r="M309" s="53">
        <v>55.645710000000001</v>
      </c>
      <c r="N309" s="53">
        <v>43.96</v>
      </c>
      <c r="O309" s="53">
        <v>43.96</v>
      </c>
      <c r="P309" s="53"/>
      <c r="Q309" s="53"/>
      <c r="R309" s="53">
        <v>3.0379999999999998</v>
      </c>
      <c r="S309" s="53">
        <v>3.04</v>
      </c>
      <c r="T309" s="53">
        <v>8.6479999999999997</v>
      </c>
      <c r="U309" s="53">
        <v>8.65</v>
      </c>
      <c r="V309" s="53"/>
      <c r="W309" s="53"/>
      <c r="X309" s="51">
        <f>O309-N309</f>
        <v>0</v>
      </c>
      <c r="Y309" s="55">
        <f>O309/N309</f>
        <v>1</v>
      </c>
      <c r="Z309" s="53">
        <v>55.65</v>
      </c>
      <c r="AA309" s="53">
        <v>49.05</v>
      </c>
      <c r="AB309" s="53">
        <v>43.96</v>
      </c>
      <c r="AC309" s="53"/>
      <c r="AD309" s="53">
        <v>3.04</v>
      </c>
      <c r="AE309" s="53"/>
      <c r="AF309" s="53">
        <v>8.65</v>
      </c>
      <c r="AG309" s="53"/>
      <c r="AH309" s="53"/>
      <c r="AI309" s="53"/>
      <c r="AJ309" s="51"/>
      <c r="AK309" s="56"/>
      <c r="AL309" s="53">
        <v>55.65</v>
      </c>
      <c r="AM309" s="53">
        <v>49.05</v>
      </c>
      <c r="AN309" s="53">
        <v>43.96</v>
      </c>
      <c r="AO309" s="53"/>
      <c r="AP309" s="53">
        <v>3.04</v>
      </c>
      <c r="AQ309" s="53"/>
      <c r="AR309" s="53">
        <v>8.65</v>
      </c>
      <c r="AS309" s="53"/>
      <c r="AT309" s="53"/>
      <c r="AU309" s="53"/>
      <c r="AV309" s="51"/>
      <c r="AW309" s="56"/>
      <c r="AX309" s="31">
        <v>308.88</v>
      </c>
      <c r="AY309" s="77"/>
      <c r="AZ309" s="89"/>
      <c r="BA309" s="50">
        <f>AY309-BC309</f>
        <v>-130.85</v>
      </c>
      <c r="BB309" s="50"/>
      <c r="BC309" s="50">
        <v>130.85</v>
      </c>
      <c r="BD309" s="50"/>
      <c r="BE309" s="39"/>
      <c r="BF309" s="89"/>
      <c r="BG309" s="50"/>
      <c r="BH309" s="50"/>
      <c r="BI309" s="39"/>
      <c r="BJ309" s="426">
        <f>BA309-AZ309</f>
        <v>-130.85</v>
      </c>
      <c r="BK309" s="46"/>
      <c r="BL309" s="652"/>
      <c r="BM309" s="568">
        <v>49.047379999999997</v>
      </c>
      <c r="BN309" s="103"/>
      <c r="BO309" s="420"/>
      <c r="BP309" s="567"/>
      <c r="BQ309" s="568"/>
      <c r="BR309" s="569"/>
      <c r="BS309" s="570"/>
      <c r="BT309" s="567"/>
      <c r="BU309" s="568"/>
      <c r="BV309" s="569"/>
      <c r="BW309" s="570"/>
      <c r="BX309" s="653"/>
      <c r="BY309" s="571"/>
      <c r="BZ309" s="572">
        <f>M309+BM309+BQ309+BU309</f>
        <v>104.69309</v>
      </c>
      <c r="CA309" s="573"/>
      <c r="CB309" s="574"/>
      <c r="CC309" s="93">
        <f>BZ309-E309</f>
        <v>104.69309</v>
      </c>
      <c r="CD309" s="347">
        <v>730.28</v>
      </c>
      <c r="CE309" s="353"/>
      <c r="CF309" s="575"/>
      <c r="CG309" s="74"/>
      <c r="CH309" s="74"/>
      <c r="CI309" s="74"/>
      <c r="CJ309" s="74"/>
      <c r="CK309" s="74"/>
      <c r="CL309" s="74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7"/>
      <c r="DB309" s="77"/>
      <c r="DC309" s="69"/>
      <c r="DD309" s="69"/>
      <c r="DE309" s="69"/>
      <c r="DF309" s="69"/>
      <c r="DG309" s="51"/>
      <c r="DI309" s="826"/>
      <c r="DJ309" s="788"/>
    </row>
    <row r="310" spans="1:114" s="783" customFormat="1" hidden="1">
      <c r="A310" s="165" t="s">
        <v>150</v>
      </c>
      <c r="B310" s="318" t="s">
        <v>101</v>
      </c>
      <c r="C310" s="851" t="s">
        <v>54</v>
      </c>
      <c r="D310" s="320"/>
      <c r="E310" s="320"/>
      <c r="F310" s="320"/>
      <c r="G310" s="320"/>
      <c r="H310" s="181"/>
      <c r="I310" s="181"/>
      <c r="J310" s="181"/>
      <c r="K310" s="181"/>
      <c r="L310" s="321"/>
      <c r="M310" s="322">
        <f>SUM(M311:M318)</f>
        <v>8</v>
      </c>
      <c r="N310" s="322"/>
      <c r="O310" s="322">
        <f>O311+O318</f>
        <v>8</v>
      </c>
      <c r="P310" s="322"/>
      <c r="Q310" s="322"/>
      <c r="R310" s="322"/>
      <c r="S310" s="322"/>
      <c r="T310" s="322"/>
      <c r="U310" s="322"/>
      <c r="V310" s="322"/>
      <c r="W310" s="322"/>
      <c r="X310" s="216"/>
      <c r="Y310" s="191"/>
      <c r="Z310" s="321"/>
      <c r="AA310" s="322">
        <f>SUM(AA311:AA318)</f>
        <v>4.4000000000000004</v>
      </c>
      <c r="AB310" s="322"/>
      <c r="AC310" s="322">
        <f>AC311+AC318</f>
        <v>0</v>
      </c>
      <c r="AD310" s="322"/>
      <c r="AE310" s="322"/>
      <c r="AF310" s="322"/>
      <c r="AG310" s="322"/>
      <c r="AH310" s="322"/>
      <c r="AI310" s="322"/>
      <c r="AJ310" s="216"/>
      <c r="AK310" s="192"/>
      <c r="AL310" s="321"/>
      <c r="AM310" s="322">
        <f>SUM(AM311:AM318)</f>
        <v>4.4000000000000004</v>
      </c>
      <c r="AN310" s="322"/>
      <c r="AO310" s="322">
        <f>AO311+AO318</f>
        <v>0</v>
      </c>
      <c r="AP310" s="322"/>
      <c r="AQ310" s="322"/>
      <c r="AR310" s="322"/>
      <c r="AS310" s="322"/>
      <c r="AT310" s="322"/>
      <c r="AU310" s="322"/>
      <c r="AV310" s="216"/>
      <c r="AW310" s="192"/>
      <c r="AX310" s="108"/>
      <c r="AY310" s="323"/>
      <c r="AZ310" s="324"/>
      <c r="BA310" s="325"/>
      <c r="BB310" s="325"/>
      <c r="BC310" s="325"/>
      <c r="BD310" s="325"/>
      <c r="BE310" s="326"/>
      <c r="BF310" s="324"/>
      <c r="BG310" s="325"/>
      <c r="BH310" s="325"/>
      <c r="BI310" s="326">
        <f>SUM(BI311:BI318)</f>
        <v>0</v>
      </c>
      <c r="BJ310" s="426">
        <f>BA310-AZ310</f>
        <v>0</v>
      </c>
      <c r="BK310" s="46"/>
      <c r="BL310" s="506"/>
      <c r="BM310" s="454">
        <f>SUM(BM311:BM318)</f>
        <v>4.4000000000000004</v>
      </c>
      <c r="BN310" s="175"/>
      <c r="BO310" s="507"/>
      <c r="BP310" s="456"/>
      <c r="BQ310" s="454"/>
      <c r="BR310" s="508"/>
      <c r="BS310" s="458"/>
      <c r="BT310" s="456"/>
      <c r="BU310" s="454"/>
      <c r="BV310" s="508"/>
      <c r="BW310" s="458"/>
      <c r="BX310" s="509"/>
      <c r="BY310" s="460"/>
      <c r="BZ310" s="461"/>
      <c r="CA310" s="510"/>
      <c r="CB310" s="462"/>
      <c r="CC310" s="309"/>
      <c r="CD310" s="511"/>
      <c r="CE310" s="512"/>
      <c r="CF310" s="464"/>
      <c r="CG310" s="465"/>
      <c r="CH310" s="465"/>
      <c r="CI310" s="465"/>
      <c r="CJ310" s="465"/>
      <c r="CK310" s="465"/>
      <c r="CL310" s="465"/>
      <c r="CM310" s="466"/>
      <c r="CN310" s="466"/>
      <c r="CO310" s="466"/>
      <c r="CP310" s="466"/>
      <c r="CQ310" s="466"/>
      <c r="CR310" s="466"/>
      <c r="CS310" s="466"/>
      <c r="CT310" s="466"/>
      <c r="CU310" s="466"/>
      <c r="CV310" s="466"/>
      <c r="CW310" s="466"/>
      <c r="CX310" s="466"/>
      <c r="CY310" s="466"/>
      <c r="CZ310" s="466"/>
      <c r="DA310" s="323"/>
      <c r="DB310" s="323"/>
      <c r="DC310" s="320"/>
      <c r="DD310" s="320"/>
      <c r="DE310" s="320"/>
      <c r="DF310" s="320"/>
      <c r="DG310" s="181"/>
      <c r="DI310" s="826"/>
      <c r="DJ310" s="788"/>
    </row>
    <row r="311" spans="1:114" s="783" customFormat="1" hidden="1">
      <c r="A311" s="177"/>
      <c r="B311" s="48" t="s">
        <v>112</v>
      </c>
      <c r="C311" s="837" t="s">
        <v>54</v>
      </c>
      <c r="D311" s="69"/>
      <c r="E311" s="69"/>
      <c r="F311" s="69"/>
      <c r="G311" s="69"/>
      <c r="H311" s="51"/>
      <c r="I311" s="51"/>
      <c r="J311" s="51"/>
      <c r="K311" s="51"/>
      <c r="L311" s="52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4"/>
      <c r="Y311" s="55"/>
      <c r="Z311" s="52"/>
      <c r="AA311" s="53">
        <v>4.4000000000000004</v>
      </c>
      <c r="AB311" s="53"/>
      <c r="AC311" s="53"/>
      <c r="AD311" s="53"/>
      <c r="AE311" s="53"/>
      <c r="AF311" s="53"/>
      <c r="AG311" s="53"/>
      <c r="AH311" s="53"/>
      <c r="AI311" s="53"/>
      <c r="AJ311" s="54"/>
      <c r="AK311" s="56"/>
      <c r="AL311" s="52"/>
      <c r="AM311" s="53">
        <v>4.4000000000000004</v>
      </c>
      <c r="AN311" s="53"/>
      <c r="AO311" s="53"/>
      <c r="AP311" s="53"/>
      <c r="AQ311" s="53"/>
      <c r="AR311" s="53"/>
      <c r="AS311" s="53"/>
      <c r="AT311" s="53"/>
      <c r="AU311" s="53"/>
      <c r="AV311" s="54"/>
      <c r="AW311" s="56"/>
      <c r="AX311" s="108"/>
      <c r="AY311" s="77"/>
      <c r="AZ311" s="89"/>
      <c r="BA311" s="50"/>
      <c r="BB311" s="50"/>
      <c r="BC311" s="50"/>
      <c r="BD311" s="50"/>
      <c r="BE311" s="39"/>
      <c r="BF311" s="89"/>
      <c r="BG311" s="50"/>
      <c r="BH311" s="50"/>
      <c r="BI311" s="39"/>
      <c r="BJ311" s="426">
        <f>BA311-AZ311</f>
        <v>0</v>
      </c>
      <c r="BK311" s="46"/>
      <c r="BL311" s="60"/>
      <c r="BM311" s="61">
        <v>4.4000000000000004</v>
      </c>
      <c r="BN311" s="62"/>
      <c r="BO311" s="470"/>
      <c r="BP311" s="64"/>
      <c r="BQ311" s="61"/>
      <c r="BR311" s="65"/>
      <c r="BS311" s="66"/>
      <c r="BT311" s="64"/>
      <c r="BU311" s="61"/>
      <c r="BV311" s="65"/>
      <c r="BW311" s="66"/>
      <c r="BX311" s="67"/>
      <c r="BY311" s="68"/>
      <c r="BZ311" s="69">
        <f>M311+BM311+BQ311+BU311</f>
        <v>4.4000000000000004</v>
      </c>
      <c r="CA311" s="70"/>
      <c r="CB311" s="71"/>
      <c r="CC311" s="72">
        <f>BZ311-E311</f>
        <v>4.4000000000000004</v>
      </c>
      <c r="CD311" s="58">
        <v>10.8</v>
      </c>
      <c r="CE311" s="50"/>
      <c r="CF311" s="73"/>
      <c r="CG311" s="74"/>
      <c r="CH311" s="74"/>
      <c r="CI311" s="74"/>
      <c r="CJ311" s="74"/>
      <c r="CK311" s="74"/>
      <c r="CL311" s="74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7"/>
      <c r="DB311" s="77"/>
      <c r="DC311" s="69"/>
      <c r="DD311" s="69"/>
      <c r="DE311" s="69"/>
      <c r="DF311" s="69"/>
      <c r="DG311" s="51"/>
      <c r="DI311" s="826"/>
      <c r="DJ311" s="788"/>
    </row>
    <row r="312" spans="1:114" s="783" customFormat="1" hidden="1">
      <c r="A312" s="177"/>
      <c r="B312" s="48" t="s">
        <v>113</v>
      </c>
      <c r="C312" s="837" t="s">
        <v>54</v>
      </c>
      <c r="D312" s="69"/>
      <c r="E312" s="69"/>
      <c r="F312" s="69"/>
      <c r="G312" s="69"/>
      <c r="H312" s="51"/>
      <c r="I312" s="51"/>
      <c r="J312" s="51"/>
      <c r="K312" s="51"/>
      <c r="L312" s="52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4"/>
      <c r="Y312" s="55"/>
      <c r="Z312" s="52"/>
      <c r="AA312" s="53"/>
      <c r="AB312" s="53"/>
      <c r="AC312" s="53"/>
      <c r="AD312" s="53"/>
      <c r="AE312" s="53"/>
      <c r="AF312" s="53"/>
      <c r="AG312" s="53"/>
      <c r="AH312" s="53"/>
      <c r="AI312" s="53"/>
      <c r="AJ312" s="54"/>
      <c r="AK312" s="56"/>
      <c r="AL312" s="52"/>
      <c r="AM312" s="53"/>
      <c r="AN312" s="53"/>
      <c r="AO312" s="53"/>
      <c r="AP312" s="53"/>
      <c r="AQ312" s="53"/>
      <c r="AR312" s="53"/>
      <c r="AS312" s="53"/>
      <c r="AT312" s="53"/>
      <c r="AU312" s="53"/>
      <c r="AV312" s="54"/>
      <c r="AW312" s="56"/>
      <c r="AX312" s="108"/>
      <c r="AY312" s="77"/>
      <c r="AZ312" s="89"/>
      <c r="BA312" s="50"/>
      <c r="BB312" s="50"/>
      <c r="BC312" s="50"/>
      <c r="BD312" s="50"/>
      <c r="BE312" s="39"/>
      <c r="BF312" s="89"/>
      <c r="BG312" s="50"/>
      <c r="BH312" s="50"/>
      <c r="BI312" s="39"/>
      <c r="BJ312" s="426"/>
      <c r="BK312" s="46"/>
      <c r="BL312" s="60"/>
      <c r="BM312" s="61"/>
      <c r="BN312" s="62"/>
      <c r="BO312" s="470"/>
      <c r="BP312" s="64"/>
      <c r="BQ312" s="61"/>
      <c r="BR312" s="65"/>
      <c r="BS312" s="66"/>
      <c r="BT312" s="64"/>
      <c r="BU312" s="61"/>
      <c r="BV312" s="65"/>
      <c r="BW312" s="66"/>
      <c r="BX312" s="67"/>
      <c r="BY312" s="68"/>
      <c r="BZ312" s="69"/>
      <c r="CA312" s="70"/>
      <c r="CB312" s="71"/>
      <c r="CC312" s="72"/>
      <c r="CD312" s="58"/>
      <c r="CE312" s="50"/>
      <c r="CF312" s="73"/>
      <c r="CG312" s="74"/>
      <c r="CH312" s="74"/>
      <c r="CI312" s="74"/>
      <c r="CJ312" s="74"/>
      <c r="CK312" s="74"/>
      <c r="CL312" s="74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7"/>
      <c r="DB312" s="77"/>
      <c r="DC312" s="69"/>
      <c r="DD312" s="69"/>
      <c r="DE312" s="69"/>
      <c r="DF312" s="69"/>
      <c r="DG312" s="51"/>
      <c r="DI312" s="826"/>
      <c r="DJ312" s="788"/>
    </row>
    <row r="313" spans="1:114" s="783" customFormat="1" ht="24" hidden="1">
      <c r="A313" s="177"/>
      <c r="B313" s="48" t="s">
        <v>202</v>
      </c>
      <c r="C313" s="837"/>
      <c r="D313" s="69"/>
      <c r="E313" s="69"/>
      <c r="F313" s="69"/>
      <c r="G313" s="69"/>
      <c r="H313" s="51"/>
      <c r="I313" s="51"/>
      <c r="J313" s="51"/>
      <c r="K313" s="51"/>
      <c r="L313" s="52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4"/>
      <c r="Y313" s="55"/>
      <c r="Z313" s="52"/>
      <c r="AA313" s="53"/>
      <c r="AB313" s="53"/>
      <c r="AC313" s="53"/>
      <c r="AD313" s="53"/>
      <c r="AE313" s="53"/>
      <c r="AF313" s="53"/>
      <c r="AG313" s="53"/>
      <c r="AH313" s="53"/>
      <c r="AI313" s="53"/>
      <c r="AJ313" s="54"/>
      <c r="AK313" s="56"/>
      <c r="AL313" s="52"/>
      <c r="AM313" s="53"/>
      <c r="AN313" s="53"/>
      <c r="AO313" s="53"/>
      <c r="AP313" s="53"/>
      <c r="AQ313" s="53"/>
      <c r="AR313" s="53"/>
      <c r="AS313" s="53"/>
      <c r="AT313" s="53"/>
      <c r="AU313" s="53"/>
      <c r="AV313" s="54"/>
      <c r="AW313" s="56"/>
      <c r="AX313" s="108"/>
      <c r="AY313" s="77"/>
      <c r="AZ313" s="89"/>
      <c r="BA313" s="50"/>
      <c r="BB313" s="50"/>
      <c r="BC313" s="50"/>
      <c r="BD313" s="50"/>
      <c r="BE313" s="39"/>
      <c r="BF313" s="89"/>
      <c r="BG313" s="50"/>
      <c r="BH313" s="50"/>
      <c r="BI313" s="39">
        <f>AY313</f>
        <v>0</v>
      </c>
      <c r="BJ313" s="426"/>
      <c r="BK313" s="46"/>
      <c r="BL313" s="60"/>
      <c r="BM313" s="61"/>
      <c r="BN313" s="62"/>
      <c r="BO313" s="470"/>
      <c r="BP313" s="64"/>
      <c r="BQ313" s="61"/>
      <c r="BR313" s="65"/>
      <c r="BS313" s="66"/>
      <c r="BT313" s="64"/>
      <c r="BU313" s="61"/>
      <c r="BV313" s="65"/>
      <c r="BW313" s="66"/>
      <c r="BX313" s="67"/>
      <c r="BY313" s="68"/>
      <c r="BZ313" s="69"/>
      <c r="CA313" s="70"/>
      <c r="CB313" s="71"/>
      <c r="CC313" s="72"/>
      <c r="CD313" s="58"/>
      <c r="CE313" s="50"/>
      <c r="CF313" s="73"/>
      <c r="CG313" s="74"/>
      <c r="CH313" s="74"/>
      <c r="CI313" s="74"/>
      <c r="CJ313" s="74"/>
      <c r="CK313" s="74"/>
      <c r="CL313" s="74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7"/>
      <c r="DB313" s="77"/>
      <c r="DC313" s="69"/>
      <c r="DD313" s="69"/>
      <c r="DE313" s="69"/>
      <c r="DF313" s="69"/>
      <c r="DG313" s="51"/>
      <c r="DI313" s="826"/>
      <c r="DJ313" s="788"/>
    </row>
    <row r="314" spans="1:114" s="783" customFormat="1" hidden="1">
      <c r="A314" s="177"/>
      <c r="B314" s="48" t="s">
        <v>235</v>
      </c>
      <c r="C314" s="837" t="s">
        <v>54</v>
      </c>
      <c r="D314" s="69"/>
      <c r="E314" s="69"/>
      <c r="F314" s="69"/>
      <c r="G314" s="69"/>
      <c r="H314" s="51"/>
      <c r="I314" s="51"/>
      <c r="J314" s="51"/>
      <c r="K314" s="51"/>
      <c r="L314" s="52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4"/>
      <c r="Y314" s="55"/>
      <c r="Z314" s="52"/>
      <c r="AA314" s="53"/>
      <c r="AB314" s="53"/>
      <c r="AC314" s="53"/>
      <c r="AD314" s="53"/>
      <c r="AE314" s="53"/>
      <c r="AF314" s="53"/>
      <c r="AG314" s="53"/>
      <c r="AH314" s="53"/>
      <c r="AI314" s="53"/>
      <c r="AJ314" s="54"/>
      <c r="AK314" s="56"/>
      <c r="AL314" s="52"/>
      <c r="AM314" s="53"/>
      <c r="AN314" s="53"/>
      <c r="AO314" s="53"/>
      <c r="AP314" s="53"/>
      <c r="AQ314" s="53"/>
      <c r="AR314" s="53"/>
      <c r="AS314" s="53"/>
      <c r="AT314" s="53"/>
      <c r="AU314" s="53"/>
      <c r="AV314" s="54"/>
      <c r="AW314" s="56"/>
      <c r="AX314" s="108"/>
      <c r="AY314" s="77"/>
      <c r="AZ314" s="89"/>
      <c r="BA314" s="50"/>
      <c r="BB314" s="50"/>
      <c r="BC314" s="50"/>
      <c r="BD314" s="50"/>
      <c r="BE314" s="39"/>
      <c r="BF314" s="89"/>
      <c r="BG314" s="50"/>
      <c r="BH314" s="50"/>
      <c r="BI314" s="39">
        <f>AY314</f>
        <v>0</v>
      </c>
      <c r="BJ314" s="426"/>
      <c r="BK314" s="46"/>
      <c r="BL314" s="60"/>
      <c r="BM314" s="61"/>
      <c r="BN314" s="62"/>
      <c r="BO314" s="470"/>
      <c r="BP314" s="64"/>
      <c r="BQ314" s="61"/>
      <c r="BR314" s="65"/>
      <c r="BS314" s="66"/>
      <c r="BT314" s="64"/>
      <c r="BU314" s="61"/>
      <c r="BV314" s="65"/>
      <c r="BW314" s="66"/>
      <c r="BX314" s="67"/>
      <c r="BY314" s="68"/>
      <c r="BZ314" s="69"/>
      <c r="CA314" s="70"/>
      <c r="CB314" s="71"/>
      <c r="CC314" s="72"/>
      <c r="CD314" s="58"/>
      <c r="CE314" s="50"/>
      <c r="CF314" s="73"/>
      <c r="CG314" s="74"/>
      <c r="CH314" s="74"/>
      <c r="CI314" s="74"/>
      <c r="CJ314" s="74"/>
      <c r="CK314" s="74"/>
      <c r="CL314" s="74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7"/>
      <c r="DB314" s="77"/>
      <c r="DC314" s="69"/>
      <c r="DD314" s="69"/>
      <c r="DE314" s="69"/>
      <c r="DF314" s="69"/>
      <c r="DG314" s="51"/>
      <c r="DI314" s="826"/>
      <c r="DJ314" s="788"/>
    </row>
    <row r="315" spans="1:114" s="783" customFormat="1" hidden="1">
      <c r="A315" s="177"/>
      <c r="B315" s="48" t="s">
        <v>55</v>
      </c>
      <c r="C315" s="837" t="s">
        <v>54</v>
      </c>
      <c r="D315" s="69"/>
      <c r="E315" s="69"/>
      <c r="F315" s="69"/>
      <c r="G315" s="69"/>
      <c r="H315" s="51"/>
      <c r="I315" s="51"/>
      <c r="J315" s="51"/>
      <c r="K315" s="51"/>
      <c r="L315" s="52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4"/>
      <c r="Y315" s="55"/>
      <c r="Z315" s="52"/>
      <c r="AA315" s="53"/>
      <c r="AB315" s="53"/>
      <c r="AC315" s="53"/>
      <c r="AD315" s="53"/>
      <c r="AE315" s="53"/>
      <c r="AF315" s="53"/>
      <c r="AG315" s="53"/>
      <c r="AH315" s="53"/>
      <c r="AI315" s="53"/>
      <c r="AJ315" s="54"/>
      <c r="AK315" s="56"/>
      <c r="AL315" s="52"/>
      <c r="AM315" s="53"/>
      <c r="AN315" s="53"/>
      <c r="AO315" s="53"/>
      <c r="AP315" s="53"/>
      <c r="AQ315" s="53"/>
      <c r="AR315" s="53"/>
      <c r="AS315" s="53"/>
      <c r="AT315" s="53"/>
      <c r="AU315" s="53"/>
      <c r="AV315" s="54"/>
      <c r="AW315" s="56"/>
      <c r="AX315" s="108"/>
      <c r="AY315" s="77"/>
      <c r="AZ315" s="89"/>
      <c r="BA315" s="50"/>
      <c r="BB315" s="50"/>
      <c r="BC315" s="50"/>
      <c r="BD315" s="50"/>
      <c r="BE315" s="39"/>
      <c r="BF315" s="89"/>
      <c r="BG315" s="50"/>
      <c r="BH315" s="50"/>
      <c r="BI315" s="39"/>
      <c r="BJ315" s="426"/>
      <c r="BK315" s="46"/>
      <c r="BL315" s="60"/>
      <c r="BM315" s="61"/>
      <c r="BN315" s="62"/>
      <c r="BO315" s="470"/>
      <c r="BP315" s="64"/>
      <c r="BQ315" s="61"/>
      <c r="BR315" s="65"/>
      <c r="BS315" s="66"/>
      <c r="BT315" s="64"/>
      <c r="BU315" s="61"/>
      <c r="BV315" s="65"/>
      <c r="BW315" s="66"/>
      <c r="BX315" s="67"/>
      <c r="BY315" s="68"/>
      <c r="BZ315" s="69"/>
      <c r="CA315" s="70"/>
      <c r="CB315" s="71"/>
      <c r="CC315" s="72"/>
      <c r="CD315" s="58"/>
      <c r="CE315" s="50"/>
      <c r="CF315" s="73"/>
      <c r="CG315" s="74"/>
      <c r="CH315" s="74"/>
      <c r="CI315" s="74"/>
      <c r="CJ315" s="74"/>
      <c r="CK315" s="74"/>
      <c r="CL315" s="74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7"/>
      <c r="DB315" s="77"/>
      <c r="DC315" s="69"/>
      <c r="DD315" s="69"/>
      <c r="DE315" s="69"/>
      <c r="DF315" s="69"/>
      <c r="DG315" s="51"/>
      <c r="DI315" s="826"/>
      <c r="DJ315" s="788"/>
    </row>
    <row r="316" spans="1:114" s="783" customFormat="1" hidden="1">
      <c r="A316" s="177"/>
      <c r="B316" s="48" t="s">
        <v>114</v>
      </c>
      <c r="C316" s="837" t="s">
        <v>54</v>
      </c>
      <c r="D316" s="69"/>
      <c r="E316" s="69"/>
      <c r="F316" s="69"/>
      <c r="G316" s="69"/>
      <c r="H316" s="51"/>
      <c r="I316" s="51"/>
      <c r="J316" s="51"/>
      <c r="K316" s="51"/>
      <c r="L316" s="52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4"/>
      <c r="Y316" s="55"/>
      <c r="Z316" s="52"/>
      <c r="AA316" s="53"/>
      <c r="AB316" s="53"/>
      <c r="AC316" s="53"/>
      <c r="AD316" s="53"/>
      <c r="AE316" s="53"/>
      <c r="AF316" s="53"/>
      <c r="AG316" s="53"/>
      <c r="AH316" s="53"/>
      <c r="AI316" s="53"/>
      <c r="AJ316" s="54"/>
      <c r="AK316" s="56"/>
      <c r="AL316" s="52"/>
      <c r="AM316" s="53"/>
      <c r="AN316" s="53"/>
      <c r="AO316" s="53"/>
      <c r="AP316" s="53"/>
      <c r="AQ316" s="53"/>
      <c r="AR316" s="53"/>
      <c r="AS316" s="53"/>
      <c r="AT316" s="53"/>
      <c r="AU316" s="53"/>
      <c r="AV316" s="54"/>
      <c r="AW316" s="56"/>
      <c r="AX316" s="108"/>
      <c r="AY316" s="77"/>
      <c r="AZ316" s="89"/>
      <c r="BA316" s="50"/>
      <c r="BB316" s="50"/>
      <c r="BC316" s="50"/>
      <c r="BD316" s="50"/>
      <c r="BE316" s="39"/>
      <c r="BF316" s="89"/>
      <c r="BG316" s="50"/>
      <c r="BH316" s="50"/>
      <c r="BI316" s="39">
        <f>AY316</f>
        <v>0</v>
      </c>
      <c r="BJ316" s="426"/>
      <c r="BK316" s="46"/>
      <c r="BL316" s="60"/>
      <c r="BM316" s="61"/>
      <c r="BN316" s="62"/>
      <c r="BO316" s="470"/>
      <c r="BP316" s="64"/>
      <c r="BQ316" s="61"/>
      <c r="BR316" s="65"/>
      <c r="BS316" s="66"/>
      <c r="BT316" s="64"/>
      <c r="BU316" s="61"/>
      <c r="BV316" s="65"/>
      <c r="BW316" s="66"/>
      <c r="BX316" s="67"/>
      <c r="BY316" s="68"/>
      <c r="BZ316" s="69"/>
      <c r="CA316" s="70"/>
      <c r="CB316" s="71"/>
      <c r="CC316" s="72"/>
      <c r="CD316" s="58"/>
      <c r="CE316" s="50"/>
      <c r="CF316" s="73"/>
      <c r="CG316" s="74"/>
      <c r="CH316" s="74"/>
      <c r="CI316" s="74"/>
      <c r="CJ316" s="74"/>
      <c r="CK316" s="74"/>
      <c r="CL316" s="74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7"/>
      <c r="DB316" s="77"/>
      <c r="DC316" s="69"/>
      <c r="DD316" s="69"/>
      <c r="DE316" s="69"/>
      <c r="DF316" s="69"/>
      <c r="DG316" s="51"/>
      <c r="DI316" s="826"/>
      <c r="DJ316" s="788"/>
    </row>
    <row r="317" spans="1:114" s="783" customFormat="1" hidden="1">
      <c r="A317" s="177"/>
      <c r="B317" s="48" t="s">
        <v>133</v>
      </c>
      <c r="C317" s="837" t="s">
        <v>54</v>
      </c>
      <c r="D317" s="69"/>
      <c r="E317" s="69"/>
      <c r="F317" s="69"/>
      <c r="G317" s="69"/>
      <c r="H317" s="51"/>
      <c r="I317" s="51"/>
      <c r="J317" s="51"/>
      <c r="K317" s="51"/>
      <c r="L317" s="52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4"/>
      <c r="Y317" s="55"/>
      <c r="Z317" s="52"/>
      <c r="AA317" s="53"/>
      <c r="AB317" s="53"/>
      <c r="AC317" s="53"/>
      <c r="AD317" s="53"/>
      <c r="AE317" s="53"/>
      <c r="AF317" s="53"/>
      <c r="AG317" s="53"/>
      <c r="AH317" s="53"/>
      <c r="AI317" s="53"/>
      <c r="AJ317" s="54"/>
      <c r="AK317" s="56"/>
      <c r="AL317" s="52"/>
      <c r="AM317" s="53"/>
      <c r="AN317" s="53"/>
      <c r="AO317" s="53"/>
      <c r="AP317" s="53"/>
      <c r="AQ317" s="53"/>
      <c r="AR317" s="53"/>
      <c r="AS317" s="53"/>
      <c r="AT317" s="53"/>
      <c r="AU317" s="53"/>
      <c r="AV317" s="54"/>
      <c r="AW317" s="56"/>
      <c r="AX317" s="108"/>
      <c r="AY317" s="77"/>
      <c r="AZ317" s="89"/>
      <c r="BA317" s="50"/>
      <c r="BB317" s="50"/>
      <c r="BC317" s="50"/>
      <c r="BD317" s="50"/>
      <c r="BE317" s="39"/>
      <c r="BF317" s="89"/>
      <c r="BG317" s="50"/>
      <c r="BH317" s="50"/>
      <c r="BI317" s="39">
        <f>AY317</f>
        <v>0</v>
      </c>
      <c r="BJ317" s="426"/>
      <c r="BK317" s="46"/>
      <c r="BL317" s="60"/>
      <c r="BM317" s="61"/>
      <c r="BN317" s="62"/>
      <c r="BO317" s="470"/>
      <c r="BP317" s="64"/>
      <c r="BQ317" s="61"/>
      <c r="BR317" s="65"/>
      <c r="BS317" s="66"/>
      <c r="BT317" s="64"/>
      <c r="BU317" s="61"/>
      <c r="BV317" s="65"/>
      <c r="BW317" s="66"/>
      <c r="BX317" s="67"/>
      <c r="BY317" s="68"/>
      <c r="BZ317" s="69"/>
      <c r="CA317" s="70"/>
      <c r="CB317" s="71"/>
      <c r="CC317" s="72"/>
      <c r="CD317" s="58"/>
      <c r="CE317" s="50"/>
      <c r="CF317" s="73"/>
      <c r="CG317" s="74"/>
      <c r="CH317" s="74"/>
      <c r="CI317" s="74"/>
      <c r="CJ317" s="74"/>
      <c r="CK317" s="74"/>
      <c r="CL317" s="74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7"/>
      <c r="DB317" s="77"/>
      <c r="DC317" s="69"/>
      <c r="DD317" s="69"/>
      <c r="DE317" s="69"/>
      <c r="DF317" s="69"/>
      <c r="DG317" s="51"/>
      <c r="DI317" s="826"/>
      <c r="DJ317" s="788"/>
    </row>
    <row r="318" spans="1:114" s="783" customFormat="1" hidden="1">
      <c r="A318" s="177"/>
      <c r="B318" s="48" t="s">
        <v>51</v>
      </c>
      <c r="C318" s="837" t="s">
        <v>54</v>
      </c>
      <c r="D318" s="69"/>
      <c r="E318" s="69"/>
      <c r="F318" s="69"/>
      <c r="G318" s="69"/>
      <c r="H318" s="51"/>
      <c r="I318" s="51"/>
      <c r="J318" s="51"/>
      <c r="K318" s="51"/>
      <c r="L318" s="52"/>
      <c r="M318" s="53">
        <v>8</v>
      </c>
      <c r="N318" s="53"/>
      <c r="O318" s="53">
        <v>8</v>
      </c>
      <c r="P318" s="53"/>
      <c r="Q318" s="53"/>
      <c r="R318" s="53"/>
      <c r="S318" s="53"/>
      <c r="T318" s="53"/>
      <c r="U318" s="53"/>
      <c r="V318" s="53"/>
      <c r="W318" s="53"/>
      <c r="X318" s="54"/>
      <c r="Y318" s="55"/>
      <c r="Z318" s="52"/>
      <c r="AA318" s="53"/>
      <c r="AB318" s="53"/>
      <c r="AC318" s="53"/>
      <c r="AD318" s="53"/>
      <c r="AE318" s="53"/>
      <c r="AF318" s="53"/>
      <c r="AG318" s="53"/>
      <c r="AH318" s="53"/>
      <c r="AI318" s="53"/>
      <c r="AJ318" s="54"/>
      <c r="AK318" s="56"/>
      <c r="AL318" s="52"/>
      <c r="AM318" s="53"/>
      <c r="AN318" s="53"/>
      <c r="AO318" s="53"/>
      <c r="AP318" s="53"/>
      <c r="AQ318" s="53"/>
      <c r="AR318" s="53"/>
      <c r="AS318" s="53"/>
      <c r="AT318" s="53"/>
      <c r="AU318" s="53"/>
      <c r="AV318" s="54"/>
      <c r="AW318" s="56"/>
      <c r="AX318" s="108"/>
      <c r="AY318" s="77"/>
      <c r="AZ318" s="89"/>
      <c r="BA318" s="50"/>
      <c r="BB318" s="50"/>
      <c r="BC318" s="50"/>
      <c r="BD318" s="50"/>
      <c r="BE318" s="39"/>
      <c r="BF318" s="89"/>
      <c r="BG318" s="50"/>
      <c r="BH318" s="50"/>
      <c r="BI318" s="39">
        <f>AY318</f>
        <v>0</v>
      </c>
      <c r="BJ318" s="426">
        <f>BA318-AZ318</f>
        <v>0</v>
      </c>
      <c r="BK318" s="46"/>
      <c r="BL318" s="60"/>
      <c r="BM318" s="61"/>
      <c r="BN318" s="62"/>
      <c r="BO318" s="470"/>
      <c r="BP318" s="64"/>
      <c r="BQ318" s="61"/>
      <c r="BR318" s="65"/>
      <c r="BS318" s="66"/>
      <c r="BT318" s="64"/>
      <c r="BU318" s="61"/>
      <c r="BV318" s="65"/>
      <c r="BW318" s="66"/>
      <c r="BX318" s="67"/>
      <c r="BY318" s="68"/>
      <c r="BZ318" s="69">
        <f>M318+BM318+BQ318+BU318</f>
        <v>8</v>
      </c>
      <c r="CA318" s="70"/>
      <c r="CB318" s="71"/>
      <c r="CC318" s="72">
        <f>BZ318-E318</f>
        <v>8</v>
      </c>
      <c r="CD318" s="58">
        <v>10.8</v>
      </c>
      <c r="CE318" s="50"/>
      <c r="CF318" s="73"/>
      <c r="CG318" s="74"/>
      <c r="CH318" s="74"/>
      <c r="CI318" s="74"/>
      <c r="CJ318" s="74"/>
      <c r="CK318" s="74"/>
      <c r="CL318" s="74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7"/>
      <c r="DB318" s="77"/>
      <c r="DC318" s="69"/>
      <c r="DD318" s="69"/>
      <c r="DE318" s="69"/>
      <c r="DF318" s="69"/>
      <c r="DG318" s="51"/>
      <c r="DI318" s="826"/>
      <c r="DJ318" s="788"/>
    </row>
    <row r="319" spans="1:114" s="783" customFormat="1" ht="24" hidden="1">
      <c r="A319" s="177" t="s">
        <v>151</v>
      </c>
      <c r="B319" s="318" t="s">
        <v>127</v>
      </c>
      <c r="C319" s="838" t="s">
        <v>54</v>
      </c>
      <c r="D319" s="320"/>
      <c r="E319" s="320"/>
      <c r="F319" s="320"/>
      <c r="G319" s="320"/>
      <c r="H319" s="181"/>
      <c r="I319" s="181"/>
      <c r="J319" s="181"/>
      <c r="K319" s="181"/>
      <c r="L319" s="321"/>
      <c r="M319" s="322"/>
      <c r="N319" s="322"/>
      <c r="O319" s="322"/>
      <c r="P319" s="322"/>
      <c r="Q319" s="322"/>
      <c r="R319" s="322"/>
      <c r="S319" s="322"/>
      <c r="T319" s="322"/>
      <c r="U319" s="322"/>
      <c r="V319" s="322"/>
      <c r="W319" s="322"/>
      <c r="X319" s="216"/>
      <c r="Y319" s="191"/>
      <c r="Z319" s="321"/>
      <c r="AA319" s="322"/>
      <c r="AB319" s="322"/>
      <c r="AC319" s="322"/>
      <c r="AD319" s="322"/>
      <c r="AE319" s="322"/>
      <c r="AF319" s="322"/>
      <c r="AG319" s="322"/>
      <c r="AH319" s="322"/>
      <c r="AI319" s="322"/>
      <c r="AJ319" s="216"/>
      <c r="AK319" s="192"/>
      <c r="AL319" s="321"/>
      <c r="AM319" s="322"/>
      <c r="AN319" s="322"/>
      <c r="AO319" s="322"/>
      <c r="AP319" s="322"/>
      <c r="AQ319" s="322"/>
      <c r="AR319" s="322"/>
      <c r="AS319" s="322"/>
      <c r="AT319" s="322"/>
      <c r="AU319" s="322"/>
      <c r="AV319" s="216"/>
      <c r="AW319" s="192"/>
      <c r="AX319" s="108"/>
      <c r="AY319" s="323"/>
      <c r="AZ319" s="324"/>
      <c r="BA319" s="325"/>
      <c r="BB319" s="325"/>
      <c r="BC319" s="325"/>
      <c r="BD319" s="325"/>
      <c r="BE319" s="326"/>
      <c r="BF319" s="324"/>
      <c r="BG319" s="325"/>
      <c r="BH319" s="325"/>
      <c r="BI319" s="326">
        <f>SUM(BI320:BI323)</f>
        <v>0</v>
      </c>
      <c r="BJ319" s="426"/>
      <c r="BK319" s="481"/>
      <c r="BL319" s="654"/>
      <c r="BM319" s="469"/>
      <c r="BN319" s="185"/>
      <c r="BO319" s="470"/>
      <c r="BP319" s="471"/>
      <c r="BQ319" s="469"/>
      <c r="BR319" s="655"/>
      <c r="BS319" s="473"/>
      <c r="BT319" s="471"/>
      <c r="BU319" s="469"/>
      <c r="BV319" s="655"/>
      <c r="BW319" s="473"/>
      <c r="BX319" s="656"/>
      <c r="BY319" s="475"/>
      <c r="BZ319" s="320"/>
      <c r="CA319" s="657"/>
      <c r="CB319" s="476"/>
      <c r="CC319" s="307"/>
      <c r="CD319" s="658"/>
      <c r="CE319" s="325"/>
      <c r="CF319" s="478"/>
      <c r="CG319" s="465"/>
      <c r="CH319" s="465"/>
      <c r="CI319" s="465"/>
      <c r="CJ319" s="465"/>
      <c r="CK319" s="465"/>
      <c r="CL319" s="465"/>
      <c r="CM319" s="466"/>
      <c r="CN319" s="466"/>
      <c r="CO319" s="466"/>
      <c r="CP319" s="466"/>
      <c r="CQ319" s="466"/>
      <c r="CR319" s="466"/>
      <c r="CS319" s="466"/>
      <c r="CT319" s="466"/>
      <c r="CU319" s="466"/>
      <c r="CV319" s="466"/>
      <c r="CW319" s="466"/>
      <c r="CX319" s="466"/>
      <c r="CY319" s="466"/>
      <c r="CZ319" s="466"/>
      <c r="DA319" s="323"/>
      <c r="DB319" s="323"/>
      <c r="DC319" s="320"/>
      <c r="DD319" s="320"/>
      <c r="DE319" s="320"/>
      <c r="DF319" s="320"/>
      <c r="DG319" s="181"/>
      <c r="DI319" s="826"/>
      <c r="DJ319" s="788"/>
    </row>
    <row r="320" spans="1:114" s="783" customFormat="1" hidden="1">
      <c r="A320" s="177"/>
      <c r="B320" s="48" t="s">
        <v>236</v>
      </c>
      <c r="C320" s="837" t="s">
        <v>54</v>
      </c>
      <c r="D320" s="69"/>
      <c r="E320" s="69"/>
      <c r="F320" s="69"/>
      <c r="G320" s="69"/>
      <c r="H320" s="51"/>
      <c r="I320" s="51"/>
      <c r="J320" s="51"/>
      <c r="K320" s="51"/>
      <c r="L320" s="52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4"/>
      <c r="Y320" s="55"/>
      <c r="Z320" s="52"/>
      <c r="AA320" s="53"/>
      <c r="AB320" s="53"/>
      <c r="AC320" s="53"/>
      <c r="AD320" s="53"/>
      <c r="AE320" s="53"/>
      <c r="AF320" s="53"/>
      <c r="AG320" s="53"/>
      <c r="AH320" s="53"/>
      <c r="AI320" s="53"/>
      <c r="AJ320" s="54"/>
      <c r="AK320" s="56"/>
      <c r="AL320" s="52"/>
      <c r="AM320" s="53"/>
      <c r="AN320" s="53"/>
      <c r="AO320" s="53"/>
      <c r="AP320" s="53"/>
      <c r="AQ320" s="53"/>
      <c r="AR320" s="53"/>
      <c r="AS320" s="53"/>
      <c r="AT320" s="53"/>
      <c r="AU320" s="53"/>
      <c r="AV320" s="54"/>
      <c r="AW320" s="56"/>
      <c r="AX320" s="108"/>
      <c r="AY320" s="77"/>
      <c r="AZ320" s="89"/>
      <c r="BA320" s="50"/>
      <c r="BB320" s="50"/>
      <c r="BC320" s="50"/>
      <c r="BD320" s="50"/>
      <c r="BE320" s="39"/>
      <c r="BF320" s="89"/>
      <c r="BG320" s="50"/>
      <c r="BH320" s="50"/>
      <c r="BI320" s="39">
        <f>AY320</f>
        <v>0</v>
      </c>
      <c r="BJ320" s="426"/>
      <c r="BK320" s="46"/>
      <c r="BL320" s="60"/>
      <c r="BM320" s="61"/>
      <c r="BN320" s="62"/>
      <c r="BO320" s="470"/>
      <c r="BP320" s="64"/>
      <c r="BQ320" s="61"/>
      <c r="BR320" s="65"/>
      <c r="BS320" s="66"/>
      <c r="BT320" s="64"/>
      <c r="BU320" s="61"/>
      <c r="BV320" s="65"/>
      <c r="BW320" s="66"/>
      <c r="BX320" s="67"/>
      <c r="BY320" s="68"/>
      <c r="BZ320" s="69"/>
      <c r="CA320" s="70"/>
      <c r="CB320" s="71"/>
      <c r="CC320" s="72"/>
      <c r="CD320" s="58"/>
      <c r="CE320" s="50"/>
      <c r="CF320" s="73"/>
      <c r="CG320" s="74"/>
      <c r="CH320" s="74"/>
      <c r="CI320" s="74"/>
      <c r="CJ320" s="74"/>
      <c r="CK320" s="74"/>
      <c r="CL320" s="74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7"/>
      <c r="DB320" s="77"/>
      <c r="DC320" s="69"/>
      <c r="DD320" s="69"/>
      <c r="DE320" s="69"/>
      <c r="DF320" s="69"/>
      <c r="DG320" s="51"/>
      <c r="DI320" s="826"/>
      <c r="DJ320" s="788"/>
    </row>
    <row r="321" spans="1:114" s="783" customFormat="1" hidden="1">
      <c r="A321" s="177"/>
      <c r="B321" s="48" t="s">
        <v>237</v>
      </c>
      <c r="C321" s="837"/>
      <c r="D321" s="69"/>
      <c r="E321" s="69"/>
      <c r="F321" s="69"/>
      <c r="G321" s="69"/>
      <c r="H321" s="51"/>
      <c r="I321" s="51"/>
      <c r="J321" s="51"/>
      <c r="K321" s="51"/>
      <c r="L321" s="52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4"/>
      <c r="Y321" s="55"/>
      <c r="Z321" s="52"/>
      <c r="AA321" s="53"/>
      <c r="AB321" s="53"/>
      <c r="AC321" s="53"/>
      <c r="AD321" s="53"/>
      <c r="AE321" s="53"/>
      <c r="AF321" s="53"/>
      <c r="AG321" s="53"/>
      <c r="AH321" s="53"/>
      <c r="AI321" s="53"/>
      <c r="AJ321" s="54"/>
      <c r="AK321" s="56"/>
      <c r="AL321" s="52"/>
      <c r="AM321" s="53"/>
      <c r="AN321" s="53"/>
      <c r="AO321" s="53"/>
      <c r="AP321" s="53"/>
      <c r="AQ321" s="53"/>
      <c r="AR321" s="53"/>
      <c r="AS321" s="53"/>
      <c r="AT321" s="53"/>
      <c r="AU321" s="53"/>
      <c r="AV321" s="54"/>
      <c r="AW321" s="56"/>
      <c r="AX321" s="108"/>
      <c r="AY321" s="77"/>
      <c r="AZ321" s="89"/>
      <c r="BA321" s="50"/>
      <c r="BB321" s="50"/>
      <c r="BC321" s="50"/>
      <c r="BD321" s="50"/>
      <c r="BE321" s="39"/>
      <c r="BF321" s="89"/>
      <c r="BG321" s="50"/>
      <c r="BH321" s="50"/>
      <c r="BI321" s="39">
        <f>AY321</f>
        <v>0</v>
      </c>
      <c r="BJ321" s="426"/>
      <c r="BK321" s="46"/>
      <c r="BL321" s="60"/>
      <c r="BM321" s="61"/>
      <c r="BN321" s="62"/>
      <c r="BO321" s="470"/>
      <c r="BP321" s="64"/>
      <c r="BQ321" s="61"/>
      <c r="BR321" s="65"/>
      <c r="BS321" s="66"/>
      <c r="BT321" s="64"/>
      <c r="BU321" s="61"/>
      <c r="BV321" s="65"/>
      <c r="BW321" s="66"/>
      <c r="BX321" s="67"/>
      <c r="BY321" s="68"/>
      <c r="BZ321" s="69"/>
      <c r="CA321" s="70"/>
      <c r="CB321" s="71"/>
      <c r="CC321" s="72"/>
      <c r="CD321" s="58"/>
      <c r="CE321" s="50"/>
      <c r="CF321" s="73"/>
      <c r="CG321" s="74"/>
      <c r="CH321" s="74"/>
      <c r="CI321" s="74"/>
      <c r="CJ321" s="74"/>
      <c r="CK321" s="74"/>
      <c r="CL321" s="74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7"/>
      <c r="DB321" s="77"/>
      <c r="DC321" s="69"/>
      <c r="DD321" s="69"/>
      <c r="DE321" s="69"/>
      <c r="DF321" s="69"/>
      <c r="DG321" s="51"/>
      <c r="DI321" s="826"/>
      <c r="DJ321" s="788"/>
    </row>
    <row r="322" spans="1:114" s="783" customFormat="1" hidden="1">
      <c r="A322" s="177"/>
      <c r="B322" s="48" t="s">
        <v>128</v>
      </c>
      <c r="C322" s="837" t="s">
        <v>54</v>
      </c>
      <c r="D322" s="69"/>
      <c r="E322" s="69"/>
      <c r="F322" s="69"/>
      <c r="G322" s="69"/>
      <c r="H322" s="51"/>
      <c r="I322" s="51"/>
      <c r="J322" s="51"/>
      <c r="K322" s="51"/>
      <c r="L322" s="52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4"/>
      <c r="Y322" s="55"/>
      <c r="Z322" s="52"/>
      <c r="AA322" s="53"/>
      <c r="AB322" s="53"/>
      <c r="AC322" s="53"/>
      <c r="AD322" s="53"/>
      <c r="AE322" s="53"/>
      <c r="AF322" s="53"/>
      <c r="AG322" s="53"/>
      <c r="AH322" s="53"/>
      <c r="AI322" s="53"/>
      <c r="AJ322" s="54"/>
      <c r="AK322" s="56"/>
      <c r="AL322" s="52"/>
      <c r="AM322" s="53"/>
      <c r="AN322" s="53"/>
      <c r="AO322" s="53"/>
      <c r="AP322" s="53"/>
      <c r="AQ322" s="53"/>
      <c r="AR322" s="53"/>
      <c r="AS322" s="53"/>
      <c r="AT322" s="53"/>
      <c r="AU322" s="53"/>
      <c r="AV322" s="54"/>
      <c r="AW322" s="56"/>
      <c r="AX322" s="108"/>
      <c r="AY322" s="77"/>
      <c r="AZ322" s="89"/>
      <c r="BA322" s="50"/>
      <c r="BB322" s="50"/>
      <c r="BC322" s="50"/>
      <c r="BD322" s="50"/>
      <c r="BE322" s="39"/>
      <c r="BF322" s="89"/>
      <c r="BG322" s="50"/>
      <c r="BH322" s="50"/>
      <c r="BI322" s="39">
        <f>AY322</f>
        <v>0</v>
      </c>
      <c r="BJ322" s="426"/>
      <c r="BK322" s="46"/>
      <c r="BL322" s="60"/>
      <c r="BM322" s="61"/>
      <c r="BN322" s="62"/>
      <c r="BO322" s="470"/>
      <c r="BP322" s="64"/>
      <c r="BQ322" s="61"/>
      <c r="BR322" s="65"/>
      <c r="BS322" s="66"/>
      <c r="BT322" s="64"/>
      <c r="BU322" s="61"/>
      <c r="BV322" s="65"/>
      <c r="BW322" s="66"/>
      <c r="BX322" s="67"/>
      <c r="BY322" s="68"/>
      <c r="BZ322" s="69"/>
      <c r="CA322" s="70"/>
      <c r="CB322" s="71"/>
      <c r="CC322" s="72"/>
      <c r="CD322" s="58"/>
      <c r="CE322" s="50"/>
      <c r="CF322" s="73"/>
      <c r="CG322" s="74"/>
      <c r="CH322" s="74"/>
      <c r="CI322" s="74"/>
      <c r="CJ322" s="74"/>
      <c r="CK322" s="74"/>
      <c r="CL322" s="74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7"/>
      <c r="DB322" s="77"/>
      <c r="DC322" s="69"/>
      <c r="DD322" s="69"/>
      <c r="DE322" s="69"/>
      <c r="DF322" s="69"/>
      <c r="DG322" s="51"/>
      <c r="DI322" s="826"/>
      <c r="DJ322" s="788"/>
    </row>
    <row r="323" spans="1:114" s="783" customFormat="1" hidden="1">
      <c r="A323" s="177"/>
      <c r="B323" s="48" t="s">
        <v>203</v>
      </c>
      <c r="C323" s="837"/>
      <c r="D323" s="69"/>
      <c r="E323" s="69"/>
      <c r="F323" s="69"/>
      <c r="G323" s="69"/>
      <c r="H323" s="51"/>
      <c r="I323" s="51"/>
      <c r="J323" s="51"/>
      <c r="K323" s="51"/>
      <c r="L323" s="52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4"/>
      <c r="Y323" s="55"/>
      <c r="Z323" s="52"/>
      <c r="AA323" s="53"/>
      <c r="AB323" s="53"/>
      <c r="AC323" s="53"/>
      <c r="AD323" s="53"/>
      <c r="AE323" s="53"/>
      <c r="AF323" s="53"/>
      <c r="AG323" s="53"/>
      <c r="AH323" s="53"/>
      <c r="AI323" s="53"/>
      <c r="AJ323" s="54"/>
      <c r="AK323" s="56"/>
      <c r="AL323" s="52"/>
      <c r="AM323" s="53"/>
      <c r="AN323" s="53"/>
      <c r="AO323" s="53"/>
      <c r="AP323" s="53"/>
      <c r="AQ323" s="53"/>
      <c r="AR323" s="53"/>
      <c r="AS323" s="53"/>
      <c r="AT323" s="53"/>
      <c r="AU323" s="53"/>
      <c r="AV323" s="54"/>
      <c r="AW323" s="56"/>
      <c r="AX323" s="108"/>
      <c r="AY323" s="77"/>
      <c r="AZ323" s="89"/>
      <c r="BA323" s="50"/>
      <c r="BB323" s="50"/>
      <c r="BC323" s="50"/>
      <c r="BD323" s="50"/>
      <c r="BE323" s="39"/>
      <c r="BF323" s="89"/>
      <c r="BG323" s="50"/>
      <c r="BH323" s="50"/>
      <c r="BI323" s="39">
        <f>AY323</f>
        <v>0</v>
      </c>
      <c r="BJ323" s="426"/>
      <c r="BK323" s="46"/>
      <c r="BL323" s="60"/>
      <c r="BM323" s="61"/>
      <c r="BN323" s="62"/>
      <c r="BO323" s="470"/>
      <c r="BP323" s="64"/>
      <c r="BQ323" s="61"/>
      <c r="BR323" s="65"/>
      <c r="BS323" s="66"/>
      <c r="BT323" s="64"/>
      <c r="BU323" s="61"/>
      <c r="BV323" s="65"/>
      <c r="BW323" s="66"/>
      <c r="BX323" s="67"/>
      <c r="BY323" s="68"/>
      <c r="BZ323" s="69"/>
      <c r="CA323" s="70"/>
      <c r="CB323" s="71"/>
      <c r="CC323" s="72"/>
      <c r="CD323" s="58"/>
      <c r="CE323" s="50"/>
      <c r="CF323" s="73"/>
      <c r="CG323" s="74"/>
      <c r="CH323" s="74"/>
      <c r="CI323" s="74"/>
      <c r="CJ323" s="74"/>
      <c r="CK323" s="74"/>
      <c r="CL323" s="74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7"/>
      <c r="DB323" s="77"/>
      <c r="DC323" s="69"/>
      <c r="DD323" s="69"/>
      <c r="DE323" s="69"/>
      <c r="DF323" s="69"/>
      <c r="DG323" s="51"/>
      <c r="DI323" s="826"/>
      <c r="DJ323" s="788"/>
    </row>
    <row r="324" spans="1:114" s="783" customFormat="1" hidden="1">
      <c r="A324" s="177" t="s">
        <v>152</v>
      </c>
      <c r="B324" s="327" t="s">
        <v>102</v>
      </c>
      <c r="C324" s="838" t="s">
        <v>54</v>
      </c>
      <c r="D324" s="320"/>
      <c r="E324" s="320"/>
      <c r="F324" s="320"/>
      <c r="G324" s="320"/>
      <c r="H324" s="181"/>
      <c r="I324" s="181"/>
      <c r="J324" s="181"/>
      <c r="K324" s="181"/>
      <c r="L324" s="321"/>
      <c r="M324" s="322">
        <f>SUM(M326)</f>
        <v>5.4249999999999998</v>
      </c>
      <c r="N324" s="322"/>
      <c r="O324" s="322">
        <f>O326</f>
        <v>5.43</v>
      </c>
      <c r="P324" s="322"/>
      <c r="Q324" s="322"/>
      <c r="R324" s="322"/>
      <c r="S324" s="322"/>
      <c r="T324" s="322"/>
      <c r="U324" s="322"/>
      <c r="V324" s="322"/>
      <c r="W324" s="322"/>
      <c r="X324" s="216"/>
      <c r="Y324" s="191"/>
      <c r="Z324" s="321"/>
      <c r="AA324" s="322">
        <f>SUM(AA326)</f>
        <v>3.61</v>
      </c>
      <c r="AB324" s="322"/>
      <c r="AC324" s="322">
        <f>AC326</f>
        <v>0</v>
      </c>
      <c r="AD324" s="322"/>
      <c r="AE324" s="322"/>
      <c r="AF324" s="322"/>
      <c r="AG324" s="322"/>
      <c r="AH324" s="322"/>
      <c r="AI324" s="322"/>
      <c r="AJ324" s="216"/>
      <c r="AK324" s="192"/>
      <c r="AL324" s="321"/>
      <c r="AM324" s="322">
        <f>SUM(AM326)</f>
        <v>3.61</v>
      </c>
      <c r="AN324" s="322"/>
      <c r="AO324" s="322">
        <f>AO326</f>
        <v>0</v>
      </c>
      <c r="AP324" s="322"/>
      <c r="AQ324" s="322"/>
      <c r="AR324" s="322"/>
      <c r="AS324" s="322"/>
      <c r="AT324" s="322"/>
      <c r="AU324" s="322"/>
      <c r="AV324" s="216"/>
      <c r="AW324" s="192"/>
      <c r="AX324" s="108"/>
      <c r="AY324" s="323"/>
      <c r="AZ324" s="324"/>
      <c r="BA324" s="325"/>
      <c r="BB324" s="325"/>
      <c r="BC324" s="325"/>
      <c r="BD324" s="325"/>
      <c r="BE324" s="326"/>
      <c r="BF324" s="324"/>
      <c r="BG324" s="325"/>
      <c r="BH324" s="325"/>
      <c r="BI324" s="326">
        <f>SUM(BI325:BI326)</f>
        <v>0</v>
      </c>
      <c r="BJ324" s="426">
        <f>BA324-AZ324</f>
        <v>0</v>
      </c>
      <c r="BK324" s="46"/>
      <c r="BL324" s="654"/>
      <c r="BM324" s="469">
        <f>BM326</f>
        <v>3.6139999999999999</v>
      </c>
      <c r="BN324" s="185"/>
      <c r="BO324" s="470"/>
      <c r="BP324" s="471"/>
      <c r="BQ324" s="469"/>
      <c r="BR324" s="655"/>
      <c r="BS324" s="473"/>
      <c r="BT324" s="471"/>
      <c r="BU324" s="469"/>
      <c r="BV324" s="655"/>
      <c r="BW324" s="473"/>
      <c r="BX324" s="656"/>
      <c r="BY324" s="475"/>
      <c r="BZ324" s="320"/>
      <c r="CA324" s="657"/>
      <c r="CB324" s="476"/>
      <c r="CC324" s="307"/>
      <c r="CD324" s="658"/>
      <c r="CE324" s="325"/>
      <c r="CF324" s="478"/>
      <c r="CG324" s="465"/>
      <c r="CH324" s="465"/>
      <c r="CI324" s="465"/>
      <c r="CJ324" s="465"/>
      <c r="CK324" s="465"/>
      <c r="CL324" s="465"/>
      <c r="CM324" s="466"/>
      <c r="CN324" s="466"/>
      <c r="CO324" s="466"/>
      <c r="CP324" s="466"/>
      <c r="CQ324" s="466"/>
      <c r="CR324" s="466"/>
      <c r="CS324" s="466"/>
      <c r="CT324" s="466"/>
      <c r="CU324" s="466"/>
      <c r="CV324" s="466"/>
      <c r="CW324" s="466"/>
      <c r="CX324" s="466"/>
      <c r="CY324" s="466"/>
      <c r="CZ324" s="466"/>
      <c r="DA324" s="323"/>
      <c r="DB324" s="323"/>
      <c r="DC324" s="320"/>
      <c r="DD324" s="320"/>
      <c r="DE324" s="320"/>
      <c r="DF324" s="320"/>
      <c r="DG324" s="181"/>
      <c r="DI324" s="826"/>
      <c r="DJ324" s="788"/>
    </row>
    <row r="325" spans="1:114" s="783" customFormat="1" hidden="1">
      <c r="A325" s="47"/>
      <c r="B325" s="48" t="s">
        <v>168</v>
      </c>
      <c r="C325" s="837" t="s">
        <v>54</v>
      </c>
      <c r="D325" s="69"/>
      <c r="E325" s="69"/>
      <c r="F325" s="69"/>
      <c r="G325" s="69"/>
      <c r="H325" s="51"/>
      <c r="I325" s="51"/>
      <c r="J325" s="51"/>
      <c r="K325" s="51"/>
      <c r="L325" s="52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4"/>
      <c r="Y325" s="55"/>
      <c r="Z325" s="52"/>
      <c r="AA325" s="53"/>
      <c r="AB325" s="53"/>
      <c r="AC325" s="53"/>
      <c r="AD325" s="53"/>
      <c r="AE325" s="53"/>
      <c r="AF325" s="53"/>
      <c r="AG325" s="53"/>
      <c r="AH325" s="53"/>
      <c r="AI325" s="53"/>
      <c r="AJ325" s="54"/>
      <c r="AK325" s="56"/>
      <c r="AL325" s="52"/>
      <c r="AM325" s="53"/>
      <c r="AN325" s="53"/>
      <c r="AO325" s="53"/>
      <c r="AP325" s="53"/>
      <c r="AQ325" s="53"/>
      <c r="AR325" s="53"/>
      <c r="AS325" s="53"/>
      <c r="AT325" s="53"/>
      <c r="AU325" s="53"/>
      <c r="AV325" s="54"/>
      <c r="AW325" s="56"/>
      <c r="AX325" s="57"/>
      <c r="AY325" s="77"/>
      <c r="AZ325" s="89"/>
      <c r="BA325" s="50"/>
      <c r="BB325" s="50"/>
      <c r="BC325" s="50"/>
      <c r="BD325" s="50"/>
      <c r="BE325" s="39"/>
      <c r="BF325" s="89"/>
      <c r="BG325" s="50"/>
      <c r="BH325" s="50"/>
      <c r="BI325" s="39">
        <f>AY325</f>
        <v>0</v>
      </c>
      <c r="BJ325" s="59"/>
      <c r="BK325" s="46"/>
      <c r="BL325" s="60"/>
      <c r="BM325" s="61"/>
      <c r="BN325" s="62"/>
      <c r="BO325" s="63"/>
      <c r="BP325" s="64"/>
      <c r="BQ325" s="61"/>
      <c r="BR325" s="65"/>
      <c r="BS325" s="66"/>
      <c r="BT325" s="64"/>
      <c r="BU325" s="61"/>
      <c r="BV325" s="65"/>
      <c r="BW325" s="66"/>
      <c r="BX325" s="67"/>
      <c r="BY325" s="68"/>
      <c r="BZ325" s="69"/>
      <c r="CA325" s="70"/>
      <c r="CB325" s="71"/>
      <c r="CC325" s="72"/>
      <c r="CD325" s="58"/>
      <c r="CE325" s="50"/>
      <c r="CF325" s="73"/>
      <c r="CG325" s="74"/>
      <c r="CH325" s="74"/>
      <c r="CI325" s="74"/>
      <c r="CJ325" s="74"/>
      <c r="CK325" s="74"/>
      <c r="CL325" s="74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7"/>
      <c r="DB325" s="77"/>
      <c r="DC325" s="69"/>
      <c r="DD325" s="69"/>
      <c r="DE325" s="69"/>
      <c r="DF325" s="69"/>
      <c r="DG325" s="51"/>
      <c r="DI325" s="826"/>
      <c r="DJ325" s="788"/>
    </row>
    <row r="326" spans="1:114" s="783" customFormat="1" hidden="1">
      <c r="A326" s="177"/>
      <c r="B326" s="48" t="s">
        <v>52</v>
      </c>
      <c r="C326" s="837" t="s">
        <v>54</v>
      </c>
      <c r="D326" s="69"/>
      <c r="E326" s="69"/>
      <c r="F326" s="69"/>
      <c r="G326" s="69"/>
      <c r="H326" s="51"/>
      <c r="I326" s="51"/>
      <c r="J326" s="51"/>
      <c r="K326" s="51"/>
      <c r="L326" s="52"/>
      <c r="M326" s="53">
        <v>5.4249999999999998</v>
      </c>
      <c r="N326" s="53"/>
      <c r="O326" s="53">
        <v>5.43</v>
      </c>
      <c r="P326" s="53"/>
      <c r="Q326" s="53"/>
      <c r="R326" s="53"/>
      <c r="S326" s="53"/>
      <c r="T326" s="53"/>
      <c r="U326" s="53"/>
      <c r="V326" s="53"/>
      <c r="W326" s="53"/>
      <c r="X326" s="54"/>
      <c r="Y326" s="55"/>
      <c r="Z326" s="52"/>
      <c r="AA326" s="53">
        <v>3.61</v>
      </c>
      <c r="AB326" s="53"/>
      <c r="AC326" s="53"/>
      <c r="AD326" s="53"/>
      <c r="AE326" s="53"/>
      <c r="AF326" s="53"/>
      <c r="AG326" s="53"/>
      <c r="AH326" s="53"/>
      <c r="AI326" s="53"/>
      <c r="AJ326" s="54"/>
      <c r="AK326" s="56"/>
      <c r="AL326" s="52"/>
      <c r="AM326" s="53">
        <v>3.61</v>
      </c>
      <c r="AN326" s="53"/>
      <c r="AO326" s="53"/>
      <c r="AP326" s="53"/>
      <c r="AQ326" s="53"/>
      <c r="AR326" s="53"/>
      <c r="AS326" s="53"/>
      <c r="AT326" s="53"/>
      <c r="AU326" s="53"/>
      <c r="AV326" s="54"/>
      <c r="AW326" s="56"/>
      <c r="AX326" s="108"/>
      <c r="AY326" s="77"/>
      <c r="AZ326" s="89"/>
      <c r="BA326" s="50"/>
      <c r="BB326" s="50"/>
      <c r="BC326" s="50"/>
      <c r="BD326" s="50"/>
      <c r="BE326" s="39"/>
      <c r="BF326" s="89"/>
      <c r="BG326" s="50"/>
      <c r="BH326" s="50"/>
      <c r="BI326" s="39">
        <f>AY326</f>
        <v>0</v>
      </c>
      <c r="BJ326" s="426">
        <f t="shared" ref="BJ326:BJ332" si="161">BA326-AZ326</f>
        <v>0</v>
      </c>
      <c r="BK326" s="46"/>
      <c r="BL326" s="60"/>
      <c r="BM326" s="61">
        <v>3.6139999999999999</v>
      </c>
      <c r="BN326" s="62"/>
      <c r="BO326" s="470"/>
      <c r="BP326" s="64"/>
      <c r="BQ326" s="61"/>
      <c r="BR326" s="65"/>
      <c r="BS326" s="66"/>
      <c r="BT326" s="64"/>
      <c r="BU326" s="61"/>
      <c r="BV326" s="65"/>
      <c r="BW326" s="66"/>
      <c r="BX326" s="67"/>
      <c r="BY326" s="68"/>
      <c r="BZ326" s="69">
        <f>M326+BM326+BQ326+BU326</f>
        <v>9.0389999999999997</v>
      </c>
      <c r="CA326" s="70"/>
      <c r="CB326" s="71"/>
      <c r="CC326" s="72">
        <f>BZ326-E326</f>
        <v>9.0389999999999997</v>
      </c>
      <c r="CD326" s="58">
        <v>79.53</v>
      </c>
      <c r="CE326" s="50"/>
      <c r="CF326" s="73"/>
      <c r="CG326" s="74"/>
      <c r="CH326" s="74"/>
      <c r="CI326" s="74"/>
      <c r="CJ326" s="74"/>
      <c r="CK326" s="74"/>
      <c r="CL326" s="74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7"/>
      <c r="DB326" s="77"/>
      <c r="DC326" s="69"/>
      <c r="DD326" s="69"/>
      <c r="DE326" s="69"/>
      <c r="DF326" s="69"/>
      <c r="DG326" s="51"/>
      <c r="DI326" s="826"/>
      <c r="DJ326" s="788"/>
    </row>
    <row r="327" spans="1:114" s="783" customFormat="1" hidden="1">
      <c r="A327" s="47" t="s">
        <v>141</v>
      </c>
      <c r="B327" s="48" t="s">
        <v>136</v>
      </c>
      <c r="C327" s="837" t="s">
        <v>54</v>
      </c>
      <c r="D327" s="69"/>
      <c r="E327" s="69"/>
      <c r="F327" s="69"/>
      <c r="G327" s="69"/>
      <c r="H327" s="51"/>
      <c r="I327" s="51"/>
      <c r="J327" s="51"/>
      <c r="K327" s="51"/>
      <c r="L327" s="52"/>
      <c r="M327" s="53">
        <f>SUM(M328)</f>
        <v>5.4249999999999998</v>
      </c>
      <c r="N327" s="53"/>
      <c r="O327" s="53">
        <f>O328</f>
        <v>5.43</v>
      </c>
      <c r="P327" s="53"/>
      <c r="Q327" s="53"/>
      <c r="R327" s="53"/>
      <c r="S327" s="53"/>
      <c r="T327" s="53"/>
      <c r="U327" s="53"/>
      <c r="V327" s="53"/>
      <c r="W327" s="53"/>
      <c r="X327" s="54"/>
      <c r="Y327" s="55"/>
      <c r="Z327" s="52"/>
      <c r="AA327" s="53">
        <f>SUM(AA328)</f>
        <v>3.61</v>
      </c>
      <c r="AB327" s="53"/>
      <c r="AC327" s="53">
        <f>AC328</f>
        <v>0</v>
      </c>
      <c r="AD327" s="53"/>
      <c r="AE327" s="53"/>
      <c r="AF327" s="53"/>
      <c r="AG327" s="53"/>
      <c r="AH327" s="53"/>
      <c r="AI327" s="53"/>
      <c r="AJ327" s="54"/>
      <c r="AK327" s="56"/>
      <c r="AL327" s="52"/>
      <c r="AM327" s="53">
        <f>SUM(AM328)</f>
        <v>3.61</v>
      </c>
      <c r="AN327" s="53"/>
      <c r="AO327" s="53">
        <f>AO328</f>
        <v>0</v>
      </c>
      <c r="AP327" s="53"/>
      <c r="AQ327" s="53"/>
      <c r="AR327" s="53"/>
      <c r="AS327" s="53"/>
      <c r="AT327" s="53"/>
      <c r="AU327" s="53"/>
      <c r="AV327" s="54"/>
      <c r="AW327" s="56"/>
      <c r="AX327" s="57"/>
      <c r="AY327" s="77"/>
      <c r="AZ327" s="89"/>
      <c r="BA327" s="50">
        <f>AY327</f>
        <v>0</v>
      </c>
      <c r="BB327" s="50"/>
      <c r="BC327" s="50"/>
      <c r="BD327" s="50"/>
      <c r="BE327" s="39"/>
      <c r="BF327" s="89"/>
      <c r="BG327" s="50"/>
      <c r="BH327" s="50"/>
      <c r="BI327" s="39">
        <f>SUM(BI328)</f>
        <v>0</v>
      </c>
      <c r="BJ327" s="59">
        <f t="shared" si="161"/>
        <v>0</v>
      </c>
      <c r="BK327" s="46"/>
      <c r="BL327" s="60"/>
      <c r="BM327" s="61">
        <f>BM328</f>
        <v>3.6139999999999999</v>
      </c>
      <c r="BN327" s="62"/>
      <c r="BO327" s="63"/>
      <c r="BP327" s="64"/>
      <c r="BQ327" s="61"/>
      <c r="BR327" s="65"/>
      <c r="BS327" s="66"/>
      <c r="BT327" s="64"/>
      <c r="BU327" s="61"/>
      <c r="BV327" s="65"/>
      <c r="BW327" s="66"/>
      <c r="BX327" s="67"/>
      <c r="BY327" s="68"/>
      <c r="BZ327" s="69"/>
      <c r="CA327" s="70"/>
      <c r="CB327" s="71"/>
      <c r="CC327" s="72"/>
      <c r="CD327" s="58"/>
      <c r="CE327" s="50"/>
      <c r="CF327" s="73"/>
      <c r="CG327" s="74"/>
      <c r="CH327" s="74"/>
      <c r="CI327" s="74"/>
      <c r="CJ327" s="74"/>
      <c r="CK327" s="74"/>
      <c r="CL327" s="74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7"/>
      <c r="DB327" s="77"/>
      <c r="DC327" s="69"/>
      <c r="DD327" s="69"/>
      <c r="DE327" s="69"/>
      <c r="DF327" s="69"/>
      <c r="DG327" s="51"/>
      <c r="DI327" s="826"/>
      <c r="DJ327" s="788"/>
    </row>
    <row r="328" spans="1:114" s="783" customFormat="1" hidden="1">
      <c r="A328" s="177"/>
      <c r="B328" s="48" t="s">
        <v>136</v>
      </c>
      <c r="C328" s="837" t="s">
        <v>54</v>
      </c>
      <c r="D328" s="69"/>
      <c r="E328" s="69"/>
      <c r="F328" s="69"/>
      <c r="G328" s="69"/>
      <c r="H328" s="51"/>
      <c r="I328" s="51"/>
      <c r="J328" s="51"/>
      <c r="K328" s="51"/>
      <c r="L328" s="52"/>
      <c r="M328" s="53">
        <v>5.4249999999999998</v>
      </c>
      <c r="N328" s="53"/>
      <c r="O328" s="53">
        <v>5.43</v>
      </c>
      <c r="P328" s="53"/>
      <c r="Q328" s="53"/>
      <c r="R328" s="53"/>
      <c r="S328" s="53"/>
      <c r="T328" s="53"/>
      <c r="U328" s="53"/>
      <c r="V328" s="53"/>
      <c r="W328" s="53"/>
      <c r="X328" s="54"/>
      <c r="Y328" s="55"/>
      <c r="Z328" s="52"/>
      <c r="AA328" s="53">
        <v>3.61</v>
      </c>
      <c r="AB328" s="53"/>
      <c r="AC328" s="53"/>
      <c r="AD328" s="53"/>
      <c r="AE328" s="53"/>
      <c r="AF328" s="53"/>
      <c r="AG328" s="53"/>
      <c r="AH328" s="53"/>
      <c r="AI328" s="53"/>
      <c r="AJ328" s="54"/>
      <c r="AK328" s="56"/>
      <c r="AL328" s="52"/>
      <c r="AM328" s="53">
        <v>3.61</v>
      </c>
      <c r="AN328" s="53"/>
      <c r="AO328" s="53"/>
      <c r="AP328" s="53"/>
      <c r="AQ328" s="53"/>
      <c r="AR328" s="53"/>
      <c r="AS328" s="53"/>
      <c r="AT328" s="53"/>
      <c r="AU328" s="53"/>
      <c r="AV328" s="54"/>
      <c r="AW328" s="56"/>
      <c r="AX328" s="108"/>
      <c r="AY328" s="77"/>
      <c r="AZ328" s="89"/>
      <c r="BA328" s="50">
        <f>AY328</f>
        <v>0</v>
      </c>
      <c r="BB328" s="50"/>
      <c r="BC328" s="50"/>
      <c r="BD328" s="50"/>
      <c r="BE328" s="39"/>
      <c r="BF328" s="89"/>
      <c r="BG328" s="50"/>
      <c r="BH328" s="50"/>
      <c r="BI328" s="39"/>
      <c r="BJ328" s="426">
        <f t="shared" si="161"/>
        <v>0</v>
      </c>
      <c r="BK328" s="46"/>
      <c r="BL328" s="60"/>
      <c r="BM328" s="61">
        <v>3.6139999999999999</v>
      </c>
      <c r="BN328" s="62"/>
      <c r="BO328" s="470"/>
      <c r="BP328" s="64"/>
      <c r="BQ328" s="61"/>
      <c r="BR328" s="65"/>
      <c r="BS328" s="66"/>
      <c r="BT328" s="64"/>
      <c r="BU328" s="61"/>
      <c r="BV328" s="65"/>
      <c r="BW328" s="66"/>
      <c r="BX328" s="67"/>
      <c r="BY328" s="68"/>
      <c r="BZ328" s="69">
        <f>M328+BM328+BQ328+BU328</f>
        <v>9.0389999999999997</v>
      </c>
      <c r="CA328" s="70"/>
      <c r="CB328" s="71"/>
      <c r="CC328" s="72">
        <f>BZ328-E328</f>
        <v>9.0389999999999997</v>
      </c>
      <c r="CD328" s="58">
        <v>79.53</v>
      </c>
      <c r="CE328" s="50"/>
      <c r="CF328" s="73"/>
      <c r="CG328" s="74"/>
      <c r="CH328" s="74"/>
      <c r="CI328" s="74"/>
      <c r="CJ328" s="74"/>
      <c r="CK328" s="74"/>
      <c r="CL328" s="74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7"/>
      <c r="DB328" s="77"/>
      <c r="DC328" s="69"/>
      <c r="DD328" s="69"/>
      <c r="DE328" s="69"/>
      <c r="DF328" s="69"/>
      <c r="DG328" s="51"/>
      <c r="DI328" s="826"/>
      <c r="DJ328" s="788"/>
    </row>
    <row r="329" spans="1:114" s="783" customFormat="1" hidden="1">
      <c r="A329" s="177" t="s">
        <v>153</v>
      </c>
      <c r="B329" s="327" t="s">
        <v>103</v>
      </c>
      <c r="C329" s="838" t="s">
        <v>54</v>
      </c>
      <c r="D329" s="320"/>
      <c r="E329" s="320"/>
      <c r="F329" s="320"/>
      <c r="G329" s="320"/>
      <c r="H329" s="181"/>
      <c r="I329" s="181"/>
      <c r="J329" s="181"/>
      <c r="K329" s="181"/>
      <c r="L329" s="321"/>
      <c r="M329" s="322">
        <f>SUM(M330)</f>
        <v>1.81E-3</v>
      </c>
      <c r="N329" s="322"/>
      <c r="O329" s="322"/>
      <c r="P329" s="322"/>
      <c r="Q329" s="322"/>
      <c r="R329" s="322"/>
      <c r="S329" s="322"/>
      <c r="T329" s="322"/>
      <c r="U329" s="322"/>
      <c r="V329" s="322"/>
      <c r="W329" s="322"/>
      <c r="X329" s="216"/>
      <c r="Y329" s="191"/>
      <c r="Z329" s="321"/>
      <c r="AA329" s="322">
        <f>SUM(AA330)</f>
        <v>0</v>
      </c>
      <c r="AB329" s="322"/>
      <c r="AC329" s="322"/>
      <c r="AD329" s="322"/>
      <c r="AE329" s="322"/>
      <c r="AF329" s="322"/>
      <c r="AG329" s="322"/>
      <c r="AH329" s="322"/>
      <c r="AI329" s="322"/>
      <c r="AJ329" s="216"/>
      <c r="AK329" s="192"/>
      <c r="AL329" s="321"/>
      <c r="AM329" s="322">
        <f>SUM(AM330)</f>
        <v>0</v>
      </c>
      <c r="AN329" s="322"/>
      <c r="AO329" s="322"/>
      <c r="AP329" s="322"/>
      <c r="AQ329" s="322"/>
      <c r="AR329" s="322"/>
      <c r="AS329" s="322"/>
      <c r="AT329" s="322"/>
      <c r="AU329" s="322"/>
      <c r="AV329" s="216"/>
      <c r="AW329" s="192"/>
      <c r="AX329" s="108"/>
      <c r="AY329" s="323"/>
      <c r="AZ329" s="324"/>
      <c r="BA329" s="325"/>
      <c r="BB329" s="325"/>
      <c r="BC329" s="325"/>
      <c r="BD329" s="325"/>
      <c r="BE329" s="326"/>
      <c r="BF329" s="324"/>
      <c r="BG329" s="325"/>
      <c r="BH329" s="325"/>
      <c r="BI329" s="326">
        <f>AY329</f>
        <v>0</v>
      </c>
      <c r="BJ329" s="426">
        <f t="shared" si="161"/>
        <v>0</v>
      </c>
      <c r="BK329" s="46"/>
      <c r="BL329" s="654"/>
      <c r="BM329" s="469">
        <f>BM330</f>
        <v>0</v>
      </c>
      <c r="BN329" s="185"/>
      <c r="BO329" s="470"/>
      <c r="BP329" s="471"/>
      <c r="BQ329" s="469"/>
      <c r="BR329" s="655"/>
      <c r="BS329" s="473"/>
      <c r="BT329" s="471"/>
      <c r="BU329" s="469"/>
      <c r="BV329" s="655"/>
      <c r="BW329" s="473"/>
      <c r="BX329" s="656"/>
      <c r="BY329" s="475"/>
      <c r="BZ329" s="320"/>
      <c r="CA329" s="657"/>
      <c r="CB329" s="476"/>
      <c r="CC329" s="307"/>
      <c r="CD329" s="658"/>
      <c r="CE329" s="325"/>
      <c r="CF329" s="478"/>
      <c r="CG329" s="465"/>
      <c r="CH329" s="465"/>
      <c r="CI329" s="465"/>
      <c r="CJ329" s="465"/>
      <c r="CK329" s="465"/>
      <c r="CL329" s="465"/>
      <c r="CM329" s="466"/>
      <c r="CN329" s="466"/>
      <c r="CO329" s="466"/>
      <c r="CP329" s="466"/>
      <c r="CQ329" s="466"/>
      <c r="CR329" s="466"/>
      <c r="CS329" s="466"/>
      <c r="CT329" s="466"/>
      <c r="CU329" s="466"/>
      <c r="CV329" s="466"/>
      <c r="CW329" s="466"/>
      <c r="CX329" s="466"/>
      <c r="CY329" s="466"/>
      <c r="CZ329" s="466"/>
      <c r="DA329" s="323"/>
      <c r="DB329" s="323"/>
      <c r="DC329" s="320"/>
      <c r="DD329" s="320"/>
      <c r="DE329" s="320"/>
      <c r="DF329" s="320"/>
      <c r="DG329" s="181"/>
      <c r="DI329" s="826"/>
      <c r="DJ329" s="788"/>
    </row>
    <row r="330" spans="1:114" s="783" customFormat="1" hidden="1">
      <c r="A330" s="194"/>
      <c r="B330" s="328" t="s">
        <v>53</v>
      </c>
      <c r="C330" s="840" t="s">
        <v>54</v>
      </c>
      <c r="D330" s="20"/>
      <c r="E330" s="20"/>
      <c r="F330" s="20"/>
      <c r="G330" s="20"/>
      <c r="H330" s="196"/>
      <c r="I330" s="196"/>
      <c r="J330" s="196"/>
      <c r="K330" s="196"/>
      <c r="L330" s="329"/>
      <c r="M330" s="330">
        <v>1.81E-3</v>
      </c>
      <c r="N330" s="330"/>
      <c r="O330" s="330"/>
      <c r="P330" s="330"/>
      <c r="Q330" s="330"/>
      <c r="R330" s="330"/>
      <c r="S330" s="330"/>
      <c r="T330" s="330"/>
      <c r="U330" s="330"/>
      <c r="V330" s="330"/>
      <c r="W330" s="330"/>
      <c r="X330" s="218"/>
      <c r="Y330" s="197"/>
      <c r="Z330" s="329"/>
      <c r="AA330" s="330"/>
      <c r="AB330" s="330"/>
      <c r="AC330" s="330"/>
      <c r="AD330" s="330"/>
      <c r="AE330" s="330"/>
      <c r="AF330" s="330"/>
      <c r="AG330" s="330"/>
      <c r="AH330" s="330"/>
      <c r="AI330" s="330"/>
      <c r="AJ330" s="218"/>
      <c r="AK330" s="198"/>
      <c r="AL330" s="329"/>
      <c r="AM330" s="330"/>
      <c r="AN330" s="330"/>
      <c r="AO330" s="330"/>
      <c r="AP330" s="330"/>
      <c r="AQ330" s="330"/>
      <c r="AR330" s="330"/>
      <c r="AS330" s="330"/>
      <c r="AT330" s="330"/>
      <c r="AU330" s="330"/>
      <c r="AV330" s="218"/>
      <c r="AW330" s="198"/>
      <c r="AX330" s="287"/>
      <c r="AY330" s="95"/>
      <c r="AZ330" s="331"/>
      <c r="BA330" s="332"/>
      <c r="BB330" s="332"/>
      <c r="BC330" s="332"/>
      <c r="BD330" s="332"/>
      <c r="BE330" s="333"/>
      <c r="BF330" s="331"/>
      <c r="BG330" s="332"/>
      <c r="BH330" s="332"/>
      <c r="BI330" s="333">
        <f>AY330</f>
        <v>0</v>
      </c>
      <c r="BJ330" s="435">
        <f t="shared" si="161"/>
        <v>0</v>
      </c>
      <c r="BK330" s="482"/>
      <c r="BL330" s="659"/>
      <c r="BM330" s="483"/>
      <c r="BN330" s="150"/>
      <c r="BO330" s="484"/>
      <c r="BP330" s="485"/>
      <c r="BQ330" s="483"/>
      <c r="BR330" s="486"/>
      <c r="BS330" s="487"/>
      <c r="BT330" s="485"/>
      <c r="BU330" s="483"/>
      <c r="BV330" s="486"/>
      <c r="BW330" s="487"/>
      <c r="BX330" s="660"/>
      <c r="BY330" s="488"/>
      <c r="BZ330" s="489">
        <f>M330+BM330+BQ330+BU330</f>
        <v>1.81E-3</v>
      </c>
      <c r="CA330" s="490"/>
      <c r="CB330" s="491"/>
      <c r="CC330" s="246">
        <f t="shared" ref="CC330:CC337" si="162">BZ330-E330</f>
        <v>1.81E-3</v>
      </c>
      <c r="CD330" s="661">
        <v>25.91</v>
      </c>
      <c r="CE330" s="332"/>
      <c r="CF330" s="492"/>
      <c r="CG330" s="74"/>
      <c r="CH330" s="74"/>
      <c r="CI330" s="74"/>
      <c r="CJ330" s="74"/>
      <c r="CK330" s="74"/>
      <c r="CL330" s="74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95"/>
      <c r="DB330" s="95"/>
      <c r="DC330" s="20"/>
      <c r="DD330" s="20"/>
      <c r="DE330" s="20"/>
      <c r="DF330" s="20"/>
      <c r="DG330" s="51"/>
      <c r="DI330" s="826"/>
      <c r="DJ330" s="788"/>
    </row>
    <row r="331" spans="1:114" s="783" customFormat="1" hidden="1">
      <c r="A331" s="267"/>
      <c r="B331" s="334" t="s">
        <v>238</v>
      </c>
      <c r="C331" s="852"/>
      <c r="D331" s="83"/>
      <c r="E331" s="83"/>
      <c r="F331" s="83"/>
      <c r="G331" s="83"/>
      <c r="H331" s="83"/>
      <c r="I331" s="83"/>
      <c r="J331" s="83"/>
      <c r="K331" s="83"/>
      <c r="L331" s="33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337"/>
      <c r="Y331" s="338"/>
      <c r="Z331" s="336"/>
      <c r="AA331" s="96"/>
      <c r="AB331" s="96"/>
      <c r="AC331" s="96"/>
      <c r="AD331" s="96"/>
      <c r="AE331" s="96"/>
      <c r="AF331" s="96"/>
      <c r="AG331" s="96"/>
      <c r="AH331" s="96"/>
      <c r="AI331" s="96"/>
      <c r="AJ331" s="337"/>
      <c r="AK331" s="339"/>
      <c r="AL331" s="336"/>
      <c r="AM331" s="96"/>
      <c r="AN331" s="96"/>
      <c r="AO331" s="96"/>
      <c r="AP331" s="96"/>
      <c r="AQ331" s="96"/>
      <c r="AR331" s="96"/>
      <c r="AS331" s="96"/>
      <c r="AT331" s="96"/>
      <c r="AU331" s="96"/>
      <c r="AV331" s="337"/>
      <c r="AW331" s="339"/>
      <c r="AX331" s="274"/>
      <c r="AY331" s="96"/>
      <c r="AZ331" s="340"/>
      <c r="BA331" s="341"/>
      <c r="BB331" s="341"/>
      <c r="BC331" s="341"/>
      <c r="BD331" s="341"/>
      <c r="BE331" s="342"/>
      <c r="BF331" s="340"/>
      <c r="BG331" s="341"/>
      <c r="BH331" s="341"/>
      <c r="BI331" s="333">
        <f>AY331</f>
        <v>0</v>
      </c>
      <c r="BJ331" s="601"/>
      <c r="BK331" s="662"/>
      <c r="BL331" s="663"/>
      <c r="BM331" s="606"/>
      <c r="BN331" s="276"/>
      <c r="BO331" s="604"/>
      <c r="BP331" s="605"/>
      <c r="BQ331" s="606"/>
      <c r="BR331" s="607"/>
      <c r="BS331" s="608"/>
      <c r="BT331" s="605"/>
      <c r="BU331" s="606"/>
      <c r="BV331" s="607"/>
      <c r="BW331" s="608"/>
      <c r="BX331" s="664"/>
      <c r="BY331" s="610"/>
      <c r="BZ331" s="83"/>
      <c r="CA331" s="611"/>
      <c r="CB331" s="612"/>
      <c r="CC331" s="269"/>
      <c r="CD331" s="665"/>
      <c r="CE331" s="341"/>
      <c r="CF331" s="615"/>
      <c r="CG331" s="616"/>
      <c r="CH331" s="616"/>
      <c r="CI331" s="616"/>
      <c r="CJ331" s="616"/>
      <c r="CK331" s="616"/>
      <c r="CL331" s="616"/>
      <c r="CM331" s="617"/>
      <c r="CN331" s="617"/>
      <c r="CO331" s="617"/>
      <c r="CP331" s="617"/>
      <c r="CQ331" s="617"/>
      <c r="CR331" s="617"/>
      <c r="CS331" s="617"/>
      <c r="CT331" s="617"/>
      <c r="CU331" s="617"/>
      <c r="CV331" s="617"/>
      <c r="CW331" s="617"/>
      <c r="CX331" s="617"/>
      <c r="CY331" s="617"/>
      <c r="CZ331" s="617"/>
      <c r="DA331" s="96"/>
      <c r="DB331" s="96"/>
      <c r="DC331" s="83"/>
      <c r="DD331" s="83"/>
      <c r="DE331" s="83"/>
      <c r="DF331" s="83"/>
      <c r="DG331" s="51"/>
      <c r="DI331" s="826"/>
      <c r="DJ331" s="788"/>
    </row>
    <row r="332" spans="1:114" s="783" customFormat="1" ht="13.5" customHeight="1">
      <c r="A332" s="208" t="s">
        <v>274</v>
      </c>
      <c r="B332" s="153" t="s">
        <v>45</v>
      </c>
      <c r="C332" s="833" t="s">
        <v>54</v>
      </c>
      <c r="D332" s="162" t="e">
        <f>SUM(D168,D169,D298)</f>
        <v>#REF!</v>
      </c>
      <c r="E332" s="162" t="e">
        <f>SUM(E168,E169,E298)</f>
        <v>#REF!</v>
      </c>
      <c r="F332" s="162" t="e">
        <f>SUM(F168,F169,F298)</f>
        <v>#REF!</v>
      </c>
      <c r="G332" s="162" t="e">
        <f>SUM(G168,G169,G298)</f>
        <v>#REF!</v>
      </c>
      <c r="H332" s="162" t="e">
        <f>H168+H169+H265+H298</f>
        <v>#REF!</v>
      </c>
      <c r="I332" s="162" t="e">
        <f>I168+I169+I265+I298</f>
        <v>#REF!</v>
      </c>
      <c r="J332" s="162" t="e">
        <f>J168+J169+J265+J298</f>
        <v>#REF!</v>
      </c>
      <c r="K332" s="162" t="e">
        <f>K168+K169+K265+K298</f>
        <v>#REF!</v>
      </c>
      <c r="L332" s="162" t="e">
        <f>L168+L169+L298</f>
        <v>#REF!</v>
      </c>
      <c r="M332" s="162" t="e">
        <f>M168+M169+M265+M298</f>
        <v>#REF!</v>
      </c>
      <c r="N332" s="162">
        <v>1233.26</v>
      </c>
      <c r="O332" s="162">
        <v>1287.94</v>
      </c>
      <c r="P332" s="162">
        <v>137.03</v>
      </c>
      <c r="Q332" s="162">
        <v>132.13999999999999</v>
      </c>
      <c r="R332" s="162">
        <v>1232.47</v>
      </c>
      <c r="S332" s="162">
        <v>1058.58</v>
      </c>
      <c r="T332" s="162" t="e">
        <f>T168+T169+T298</f>
        <v>#REF!</v>
      </c>
      <c r="U332" s="162" t="e">
        <f>U168+U169+U298</f>
        <v>#REF!</v>
      </c>
      <c r="V332" s="162" t="e">
        <f>V168</f>
        <v>#REF!</v>
      </c>
      <c r="W332" s="162">
        <f>W265</f>
        <v>185.20000000000002</v>
      </c>
      <c r="X332" s="209">
        <f>O332-N332</f>
        <v>54.680000000000064</v>
      </c>
      <c r="Y332" s="210">
        <f>O332/N332</f>
        <v>1.0443377714350583</v>
      </c>
      <c r="Z332" s="162" t="e">
        <f>Z168+Z169+Z298</f>
        <v>#REF!</v>
      </c>
      <c r="AA332" s="162" t="e">
        <f>AA168+AA169+AA265+AA298</f>
        <v>#REF!</v>
      </c>
      <c r="AB332" s="162" t="e">
        <f t="shared" ref="AB332:AG332" si="163">AB168+AB169+AB298</f>
        <v>#REF!</v>
      </c>
      <c r="AC332" s="162" t="e">
        <f t="shared" si="163"/>
        <v>#REF!</v>
      </c>
      <c r="AD332" s="162" t="e">
        <f t="shared" si="163"/>
        <v>#REF!</v>
      </c>
      <c r="AE332" s="162" t="e">
        <f t="shared" si="163"/>
        <v>#REF!</v>
      </c>
      <c r="AF332" s="162" t="e">
        <f t="shared" si="163"/>
        <v>#REF!</v>
      </c>
      <c r="AG332" s="162" t="e">
        <f t="shared" si="163"/>
        <v>#REF!</v>
      </c>
      <c r="AH332" s="162" t="e">
        <f>AH168</f>
        <v>#REF!</v>
      </c>
      <c r="AI332" s="162">
        <f>AI265</f>
        <v>0</v>
      </c>
      <c r="AJ332" s="209" t="e">
        <f>AC332-AB332</f>
        <v>#REF!</v>
      </c>
      <c r="AK332" s="211" t="e">
        <f>AC332/AB332</f>
        <v>#REF!</v>
      </c>
      <c r="AL332" s="162" t="e">
        <f>AL168+AL169+AL298</f>
        <v>#REF!</v>
      </c>
      <c r="AM332" s="162" t="e">
        <f>AM168+AM169+AM265+AM298</f>
        <v>#REF!</v>
      </c>
      <c r="AN332" s="162" t="e">
        <f t="shared" ref="AN332:AS332" si="164">AN168+AN169+AN298</f>
        <v>#REF!</v>
      </c>
      <c r="AO332" s="162" t="e">
        <f t="shared" si="164"/>
        <v>#REF!</v>
      </c>
      <c r="AP332" s="162" t="e">
        <f t="shared" si="164"/>
        <v>#REF!</v>
      </c>
      <c r="AQ332" s="162" t="e">
        <f t="shared" si="164"/>
        <v>#REF!</v>
      </c>
      <c r="AR332" s="162" t="e">
        <f t="shared" si="164"/>
        <v>#REF!</v>
      </c>
      <c r="AS332" s="162" t="e">
        <f t="shared" si="164"/>
        <v>#REF!</v>
      </c>
      <c r="AT332" s="162" t="e">
        <f>AT168</f>
        <v>#REF!</v>
      </c>
      <c r="AU332" s="162">
        <f>AU265</f>
        <v>0</v>
      </c>
      <c r="AV332" s="209" t="e">
        <f>AO332-AN332</f>
        <v>#REF!</v>
      </c>
      <c r="AW332" s="211" t="e">
        <f>AO332/AN332</f>
        <v>#REF!</v>
      </c>
      <c r="AX332" s="117" t="e">
        <f>AX168+AX169+AX298</f>
        <v>#REF!</v>
      </c>
      <c r="AY332" s="162" t="e">
        <f>AY168+AY169+AY265+AY298</f>
        <v>#REF!</v>
      </c>
      <c r="AZ332" s="343" t="e">
        <f>AZ168+AZ169+AZ298</f>
        <v>#REF!</v>
      </c>
      <c r="BA332" s="344" t="e">
        <f t="shared" ref="BA332:BH332" si="165">SUM(BA168,BA169,BA265,BA298)</f>
        <v>#REF!</v>
      </c>
      <c r="BB332" s="344" t="e">
        <f t="shared" si="165"/>
        <v>#REF!</v>
      </c>
      <c r="BC332" s="344" t="e">
        <f t="shared" si="165"/>
        <v>#REF!</v>
      </c>
      <c r="BD332" s="344" t="e">
        <f t="shared" si="165"/>
        <v>#REF!</v>
      </c>
      <c r="BE332" s="345" t="e">
        <f t="shared" si="165"/>
        <v>#REF!</v>
      </c>
      <c r="BF332" s="343" t="e">
        <f t="shared" si="165"/>
        <v>#REF!</v>
      </c>
      <c r="BG332" s="344" t="e">
        <f t="shared" si="165"/>
        <v>#REF!</v>
      </c>
      <c r="BH332" s="344">
        <f t="shared" si="165"/>
        <v>-247.29414</v>
      </c>
      <c r="BI332" s="345">
        <f>SUM(BI298)</f>
        <v>0</v>
      </c>
      <c r="BJ332" s="288" t="e">
        <f t="shared" si="161"/>
        <v>#REF!</v>
      </c>
      <c r="BK332" s="515" t="e">
        <f>BA332/AZ332</f>
        <v>#REF!</v>
      </c>
      <c r="BL332" s="666"/>
      <c r="BM332" s="516" t="e">
        <f>BM168+BM169+BM265+BM298</f>
        <v>#REF!</v>
      </c>
      <c r="BN332" s="122"/>
      <c r="BO332" s="409"/>
      <c r="BP332" s="448"/>
      <c r="BQ332" s="516"/>
      <c r="BR332" s="517"/>
      <c r="BS332" s="518"/>
      <c r="BT332" s="448"/>
      <c r="BU332" s="516"/>
      <c r="BV332" s="517"/>
      <c r="BW332" s="518"/>
      <c r="BX332" s="667" t="e">
        <f>BX168+BX169+BX298</f>
        <v>#REF!</v>
      </c>
      <c r="BY332" s="449" t="e">
        <f t="shared" ref="BY332:BY342" si="166">F332</f>
        <v>#REF!</v>
      </c>
      <c r="BZ332" s="209" t="e">
        <f t="shared" ref="BZ332:BZ337" si="167">M332+BM332+BQ332+BU332</f>
        <v>#REF!</v>
      </c>
      <c r="CA332" s="516" t="e">
        <f t="shared" ref="CA332:CA342" si="168">BZ332-BY332</f>
        <v>#REF!</v>
      </c>
      <c r="CB332" s="515" t="e">
        <f t="shared" ref="CB332:CB342" si="169">BZ332/BY332</f>
        <v>#REF!</v>
      </c>
      <c r="CC332" s="444" t="e">
        <f t="shared" si="162"/>
        <v>#REF!</v>
      </c>
      <c r="CD332" s="668" t="e">
        <f>CD168+CD169+CD298</f>
        <v>#REF!</v>
      </c>
      <c r="CE332" s="344" t="e">
        <f>CE168+CE169+CE265+CE298</f>
        <v>#REF!</v>
      </c>
      <c r="CF332" s="519">
        <f>CF265</f>
        <v>627.39329999999995</v>
      </c>
      <c r="CG332" s="450"/>
      <c r="CH332" s="450"/>
      <c r="CI332" s="450"/>
      <c r="CJ332" s="450"/>
      <c r="CK332" s="450"/>
      <c r="CL332" s="450"/>
      <c r="CM332" s="451"/>
      <c r="CN332" s="451"/>
      <c r="CO332" s="451"/>
      <c r="CP332" s="451"/>
      <c r="CQ332" s="451"/>
      <c r="CR332" s="451"/>
      <c r="CS332" s="451"/>
      <c r="CT332" s="451"/>
      <c r="CU332" s="451"/>
      <c r="CV332" s="451"/>
      <c r="CW332" s="451"/>
      <c r="CX332" s="451"/>
      <c r="CY332" s="451"/>
      <c r="CZ332" s="451"/>
      <c r="DA332" s="162" t="e">
        <f>DA168+DA169+DA265+DA298</f>
        <v>#REF!</v>
      </c>
      <c r="DB332" s="162" t="e">
        <f>DB168+DB169+DB265+DB298</f>
        <v>#REF!</v>
      </c>
      <c r="DC332" s="162">
        <f>SUM(DC168,DC169,DC298)</f>
        <v>49474.672019999998</v>
      </c>
      <c r="DD332" s="162">
        <f>SUM(DD168,DD169,DD298)</f>
        <v>46824.577969999998</v>
      </c>
      <c r="DE332" s="162">
        <f>SUM(DE168,DE169,DE298)</f>
        <v>51680.973870000002</v>
      </c>
      <c r="DF332" s="162" t="e">
        <f>SUM(DF168,DF169,DF298)</f>
        <v>#REF!</v>
      </c>
      <c r="DG332" s="162" t="e">
        <f>SUM(DG168,DG169,DG298)</f>
        <v>#REF!</v>
      </c>
      <c r="DI332" s="826"/>
      <c r="DJ332" s="788"/>
    </row>
    <row r="333" spans="1:114" s="783" customFormat="1" ht="19.5" customHeight="1">
      <c r="A333" s="165"/>
      <c r="B333" s="316" t="s">
        <v>188</v>
      </c>
      <c r="C333" s="853" t="s">
        <v>54</v>
      </c>
      <c r="D333" s="347" t="e">
        <f t="shared" ref="D333:I333" si="170">D31-D332</f>
        <v>#REF!</v>
      </c>
      <c r="E333" s="347" t="e">
        <f t="shared" si="170"/>
        <v>#REF!</v>
      </c>
      <c r="F333" s="347" t="e">
        <f t="shared" si="170"/>
        <v>#REF!</v>
      </c>
      <c r="G333" s="347" t="e">
        <f t="shared" si="170"/>
        <v>#REF!</v>
      </c>
      <c r="H333" s="348" t="e">
        <f t="shared" si="170"/>
        <v>#REF!</v>
      </c>
      <c r="I333" s="348" t="e">
        <f t="shared" si="170"/>
        <v>#REF!</v>
      </c>
      <c r="J333" s="348"/>
      <c r="K333" s="348"/>
      <c r="L333" s="348"/>
      <c r="M333" s="348" t="e">
        <f>M31-M332</f>
        <v>#REF!</v>
      </c>
      <c r="N333" s="348"/>
      <c r="O333" s="348">
        <f>O31-O332</f>
        <v>240.30332599999997</v>
      </c>
      <c r="P333" s="348"/>
      <c r="Q333" s="348"/>
      <c r="R333" s="348"/>
      <c r="S333" s="348">
        <f>S31-S332</f>
        <v>-824.96444899999995</v>
      </c>
      <c r="T333" s="348"/>
      <c r="U333" s="348" t="e">
        <f>U31-U332</f>
        <v>#REF!</v>
      </c>
      <c r="V333" s="348" t="e">
        <f>V31-V332</f>
        <v>#REF!</v>
      </c>
      <c r="W333" s="348">
        <f>W31-W332</f>
        <v>-15.110000000000014</v>
      </c>
      <c r="X333" s="349"/>
      <c r="Y333" s="350"/>
      <c r="Z333" s="348"/>
      <c r="AA333" s="348" t="e">
        <f>AA31-AA332</f>
        <v>#REF!</v>
      </c>
      <c r="AB333" s="348"/>
      <c r="AC333" s="348" t="e">
        <f>AC31-AC332</f>
        <v>#REF!</v>
      </c>
      <c r="AD333" s="348"/>
      <c r="AE333" s="348" t="e">
        <f>AE31-AE332</f>
        <v>#REF!</v>
      </c>
      <c r="AF333" s="348"/>
      <c r="AG333" s="348" t="e">
        <f>AG31-AG332</f>
        <v>#REF!</v>
      </c>
      <c r="AH333" s="348" t="e">
        <f>AH31-AH332</f>
        <v>#REF!</v>
      </c>
      <c r="AI333" s="348">
        <f>AI31-AI332</f>
        <v>0</v>
      </c>
      <c r="AJ333" s="349"/>
      <c r="AK333" s="351"/>
      <c r="AL333" s="348"/>
      <c r="AM333" s="348" t="e">
        <f>AM31-AM332</f>
        <v>#REF!</v>
      </c>
      <c r="AN333" s="348"/>
      <c r="AO333" s="348" t="e">
        <f>AO31-AO332</f>
        <v>#REF!</v>
      </c>
      <c r="AP333" s="348"/>
      <c r="AQ333" s="348" t="e">
        <f>AQ31-AQ332</f>
        <v>#REF!</v>
      </c>
      <c r="AR333" s="348"/>
      <c r="AS333" s="348" t="e">
        <f>AS31-AS332</f>
        <v>#REF!</v>
      </c>
      <c r="AT333" s="348" t="e">
        <f>AT31-AT332</f>
        <v>#REF!</v>
      </c>
      <c r="AU333" s="348">
        <f>AU31-AU332</f>
        <v>0</v>
      </c>
      <c r="AV333" s="349"/>
      <c r="AW333" s="351"/>
      <c r="AX333" s="94" t="e">
        <f t="shared" ref="AX333:BI333" si="171">AX31-AX332</f>
        <v>#REF!</v>
      </c>
      <c r="AY333" s="94" t="e">
        <f t="shared" si="171"/>
        <v>#REF!</v>
      </c>
      <c r="AZ333" s="352" t="e">
        <f t="shared" si="171"/>
        <v>#REF!</v>
      </c>
      <c r="BA333" s="353" t="e">
        <f t="shared" si="171"/>
        <v>#REF!</v>
      </c>
      <c r="BB333" s="353" t="e">
        <f t="shared" si="171"/>
        <v>#REF!</v>
      </c>
      <c r="BC333" s="353" t="e">
        <f t="shared" si="171"/>
        <v>#REF!</v>
      </c>
      <c r="BD333" s="353" t="e">
        <f t="shared" si="171"/>
        <v>#REF!</v>
      </c>
      <c r="BE333" s="354" t="e">
        <f t="shared" si="171"/>
        <v>#REF!</v>
      </c>
      <c r="BF333" s="352" t="e">
        <f t="shared" si="171"/>
        <v>#REF!</v>
      </c>
      <c r="BG333" s="353" t="e">
        <f t="shared" si="171"/>
        <v>#REF!</v>
      </c>
      <c r="BH333" s="353">
        <f t="shared" si="171"/>
        <v>247.29414</v>
      </c>
      <c r="BI333" s="354">
        <f t="shared" si="171"/>
        <v>0</v>
      </c>
      <c r="BJ333" s="417"/>
      <c r="BK333" s="574"/>
      <c r="BL333" s="669"/>
      <c r="BM333" s="568" t="e">
        <f>BM31-BM332</f>
        <v>#REF!</v>
      </c>
      <c r="BN333" s="103"/>
      <c r="BO333" s="455"/>
      <c r="BP333" s="567"/>
      <c r="BQ333" s="568"/>
      <c r="BR333" s="670"/>
      <c r="BS333" s="570"/>
      <c r="BT333" s="567"/>
      <c r="BU333" s="568"/>
      <c r="BV333" s="670"/>
      <c r="BW333" s="570"/>
      <c r="BX333" s="653" t="e">
        <f>BX31+#REF!-BX332-#REF!</f>
        <v>#REF!</v>
      </c>
      <c r="BY333" s="571" t="e">
        <f t="shared" si="166"/>
        <v>#REF!</v>
      </c>
      <c r="BZ333" s="572" t="e">
        <f t="shared" si="167"/>
        <v>#REF!</v>
      </c>
      <c r="CA333" s="568" t="e">
        <f t="shared" si="168"/>
        <v>#REF!</v>
      </c>
      <c r="CB333" s="574" t="e">
        <f t="shared" si="169"/>
        <v>#REF!</v>
      </c>
      <c r="CC333" s="93" t="e">
        <f t="shared" si="162"/>
        <v>#REF!</v>
      </c>
      <c r="CD333" s="347" t="e">
        <f>CD31-CD332</f>
        <v>#REF!</v>
      </c>
      <c r="CE333" s="353" t="e">
        <f>CE31-CE332</f>
        <v>#REF!</v>
      </c>
      <c r="CF333" s="575">
        <f>CF31-CF332</f>
        <v>1749.3667000000003</v>
      </c>
      <c r="CG333" s="74"/>
      <c r="CH333" s="74"/>
      <c r="CI333" s="74"/>
      <c r="CJ333" s="74"/>
      <c r="CK333" s="74"/>
      <c r="CL333" s="74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94" t="e">
        <f t="shared" ref="DA333:DG333" si="172">DA31-DA332</f>
        <v>#REF!</v>
      </c>
      <c r="DB333" s="94" t="e">
        <f t="shared" si="172"/>
        <v>#REF!</v>
      </c>
      <c r="DC333" s="776">
        <f t="shared" si="172"/>
        <v>2182.9279800000004</v>
      </c>
      <c r="DD333" s="347">
        <f t="shared" si="172"/>
        <v>2836.2220300000045</v>
      </c>
      <c r="DE333" s="776">
        <f t="shared" si="172"/>
        <v>3205.2261299999955</v>
      </c>
      <c r="DF333" s="776" t="e">
        <f t="shared" si="172"/>
        <v>#REF!</v>
      </c>
      <c r="DG333" s="776" t="e">
        <f t="shared" si="172"/>
        <v>#REF!</v>
      </c>
      <c r="DI333" s="826"/>
      <c r="DJ333" s="788"/>
    </row>
    <row r="334" spans="1:114" s="783" customFormat="1" ht="24">
      <c r="A334" s="177"/>
      <c r="B334" s="48" t="s">
        <v>299</v>
      </c>
      <c r="C334" s="854" t="s">
        <v>54</v>
      </c>
      <c r="D334" s="77" t="e">
        <f>SUM(D332,D333)</f>
        <v>#REF!</v>
      </c>
      <c r="E334" s="77" t="e">
        <f>SUM(E332,E333)</f>
        <v>#REF!</v>
      </c>
      <c r="F334" s="77" t="e">
        <f>SUM(F332,F333)</f>
        <v>#REF!</v>
      </c>
      <c r="G334" s="77" t="e">
        <f>SUM(G332,G333)</f>
        <v>#REF!</v>
      </c>
      <c r="H334" s="53" t="e">
        <f>H332</f>
        <v>#REF!</v>
      </c>
      <c r="I334" s="53" t="e">
        <f>I332</f>
        <v>#REF!</v>
      </c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1"/>
      <c r="Y334" s="55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1"/>
      <c r="AK334" s="56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1"/>
      <c r="AW334" s="56"/>
      <c r="AX334" s="77" t="e">
        <f t="shared" ref="AX334:BE334" si="173">AX332</f>
        <v>#REF!</v>
      </c>
      <c r="AY334" s="77" t="e">
        <f>SUM(AY332,AY333)</f>
        <v>#REF!</v>
      </c>
      <c r="AZ334" s="89" t="e">
        <f t="shared" si="173"/>
        <v>#REF!</v>
      </c>
      <c r="BA334" s="50" t="e">
        <f>BA332</f>
        <v>#REF!</v>
      </c>
      <c r="BB334" s="50" t="e">
        <f>SUM(BB332,BB333)</f>
        <v>#REF!</v>
      </c>
      <c r="BC334" s="50" t="e">
        <f>BC332</f>
        <v>#REF!</v>
      </c>
      <c r="BD334" s="50" t="e">
        <f t="shared" si="173"/>
        <v>#REF!</v>
      </c>
      <c r="BE334" s="39" t="e">
        <f t="shared" si="173"/>
        <v>#REF!</v>
      </c>
      <c r="BF334" s="89" t="e">
        <f>BF332</f>
        <v>#REF!</v>
      </c>
      <c r="BG334" s="50" t="e">
        <f>BG332</f>
        <v>#REF!</v>
      </c>
      <c r="BH334" s="50">
        <f>BH332</f>
        <v>-247.29414</v>
      </c>
      <c r="BI334" s="39">
        <f>BI332</f>
        <v>0</v>
      </c>
      <c r="BJ334" s="426"/>
      <c r="BK334" s="71"/>
      <c r="BL334" s="671"/>
      <c r="BM334" s="61"/>
      <c r="BN334" s="62"/>
      <c r="BO334" s="470"/>
      <c r="BP334" s="64"/>
      <c r="BQ334" s="61"/>
      <c r="BR334" s="479"/>
      <c r="BS334" s="66"/>
      <c r="BT334" s="64"/>
      <c r="BU334" s="61"/>
      <c r="BV334" s="479"/>
      <c r="BW334" s="66"/>
      <c r="BX334" s="67" t="e">
        <f>BX332</f>
        <v>#REF!</v>
      </c>
      <c r="BY334" s="68" t="e">
        <f t="shared" si="166"/>
        <v>#REF!</v>
      </c>
      <c r="BZ334" s="69">
        <f t="shared" si="167"/>
        <v>0</v>
      </c>
      <c r="CA334" s="61" t="e">
        <f t="shared" si="168"/>
        <v>#REF!</v>
      </c>
      <c r="CB334" s="71" t="e">
        <f t="shared" si="169"/>
        <v>#REF!</v>
      </c>
      <c r="CC334" s="72" t="e">
        <f t="shared" si="162"/>
        <v>#REF!</v>
      </c>
      <c r="CD334" s="58" t="e">
        <f>CD332</f>
        <v>#REF!</v>
      </c>
      <c r="CE334" s="50" t="e">
        <f>CE332</f>
        <v>#REF!</v>
      </c>
      <c r="CF334" s="73">
        <f>CF332</f>
        <v>627.39329999999995</v>
      </c>
      <c r="CG334" s="74"/>
      <c r="CH334" s="74"/>
      <c r="CI334" s="74"/>
      <c r="CJ334" s="74"/>
      <c r="CK334" s="74"/>
      <c r="CL334" s="74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7" t="e">
        <f t="shared" ref="DA334:DG334" si="174">SUM(DA332,DA333)</f>
        <v>#REF!</v>
      </c>
      <c r="DB334" s="77" t="e">
        <f t="shared" si="174"/>
        <v>#REF!</v>
      </c>
      <c r="DC334" s="77">
        <f t="shared" si="174"/>
        <v>51657.599999999999</v>
      </c>
      <c r="DD334" s="77">
        <f t="shared" si="174"/>
        <v>49660.800000000003</v>
      </c>
      <c r="DE334" s="77">
        <f t="shared" si="174"/>
        <v>54886.2</v>
      </c>
      <c r="DF334" s="77" t="e">
        <f t="shared" si="174"/>
        <v>#REF!</v>
      </c>
      <c r="DG334" s="77" t="e">
        <f t="shared" si="174"/>
        <v>#REF!</v>
      </c>
      <c r="DI334" s="826"/>
      <c r="DJ334" s="788"/>
    </row>
    <row r="335" spans="1:114" s="783" customFormat="1">
      <c r="A335" s="177"/>
      <c r="B335" s="48" t="s">
        <v>348</v>
      </c>
      <c r="C335" s="854" t="s">
        <v>54</v>
      </c>
      <c r="D335" s="77">
        <v>1354.37</v>
      </c>
      <c r="E335" s="77">
        <v>1338.73</v>
      </c>
      <c r="F335" s="77">
        <v>1387.77</v>
      </c>
      <c r="G335" s="77">
        <v>1387.77</v>
      </c>
      <c r="H335" s="53">
        <v>592.11</v>
      </c>
      <c r="I335" s="53">
        <v>383.1</v>
      </c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1"/>
      <c r="Y335" s="55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1"/>
      <c r="AK335" s="56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1"/>
      <c r="AW335" s="56"/>
      <c r="AX335" s="77">
        <f>G335/2</f>
        <v>693.88499999999999</v>
      </c>
      <c r="AY335" s="77">
        <v>1156.8</v>
      </c>
      <c r="AZ335" s="89"/>
      <c r="BA335" s="50">
        <v>661.61</v>
      </c>
      <c r="BB335" s="50"/>
      <c r="BC335" s="50">
        <v>280.45</v>
      </c>
      <c r="BD335" s="50"/>
      <c r="BE335" s="39">
        <v>58.72</v>
      </c>
      <c r="BF335" s="89">
        <v>89.2</v>
      </c>
      <c r="BG335" s="50">
        <v>43.12</v>
      </c>
      <c r="BH335" s="50"/>
      <c r="BI335" s="39"/>
      <c r="BJ335" s="426"/>
      <c r="BK335" s="71"/>
      <c r="BL335" s="671"/>
      <c r="BM335" s="61"/>
      <c r="BN335" s="62"/>
      <c r="BO335" s="470"/>
      <c r="BP335" s="64"/>
      <c r="BQ335" s="61"/>
      <c r="BR335" s="479"/>
      <c r="BS335" s="66"/>
      <c r="BT335" s="64"/>
      <c r="BU335" s="61"/>
      <c r="BV335" s="479"/>
      <c r="BW335" s="66"/>
      <c r="BX335" s="67" t="e">
        <f>(BX31+#REF!)*0.06/2</f>
        <v>#REF!</v>
      </c>
      <c r="BY335" s="68">
        <f t="shared" si="166"/>
        <v>1387.77</v>
      </c>
      <c r="BZ335" s="69">
        <f t="shared" si="167"/>
        <v>0</v>
      </c>
      <c r="CA335" s="61">
        <f t="shared" si="168"/>
        <v>-1387.77</v>
      </c>
      <c r="CB335" s="71">
        <f t="shared" si="169"/>
        <v>0</v>
      </c>
      <c r="CC335" s="72">
        <f t="shared" si="162"/>
        <v>-1338.73</v>
      </c>
      <c r="CD335" s="58">
        <f>BZ335-CE335</f>
        <v>-60.82</v>
      </c>
      <c r="CE335" s="50">
        <v>60.82</v>
      </c>
      <c r="CF335" s="73"/>
      <c r="CG335" s="74"/>
      <c r="CH335" s="74"/>
      <c r="CI335" s="74"/>
      <c r="CJ335" s="74"/>
      <c r="CK335" s="74"/>
      <c r="CL335" s="74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7">
        <v>1338.73</v>
      </c>
      <c r="DB335" s="77">
        <v>1505.8</v>
      </c>
      <c r="DC335" s="77">
        <f>(DC31*6/100)/2</f>
        <v>1549.7279999999998</v>
      </c>
      <c r="DD335" s="77">
        <f>(DD31*6/100)/2</f>
        <v>1489.8240000000003</v>
      </c>
      <c r="DE335" s="77">
        <f>(DE31*6/100)/2</f>
        <v>1646.5859999999998</v>
      </c>
      <c r="DF335" s="77">
        <f>(DF31*6/100)/2</f>
        <v>724.17600000000004</v>
      </c>
      <c r="DG335" s="77">
        <f>(DG31*6/100)/2</f>
        <v>746.13240000000008</v>
      </c>
      <c r="DI335" s="826"/>
      <c r="DJ335" s="788"/>
    </row>
    <row r="336" spans="1:114" s="783" customFormat="1" hidden="1">
      <c r="A336" s="194"/>
      <c r="B336" s="328" t="s">
        <v>74</v>
      </c>
      <c r="C336" s="855" t="s">
        <v>54</v>
      </c>
      <c r="D336" s="76"/>
      <c r="E336" s="76"/>
      <c r="F336" s="76"/>
      <c r="G336" s="76"/>
      <c r="H336" s="330"/>
      <c r="I336" s="330"/>
      <c r="J336" s="330"/>
      <c r="K336" s="330"/>
      <c r="L336" s="330"/>
      <c r="M336" s="330"/>
      <c r="N336" s="330"/>
      <c r="O336" s="330"/>
      <c r="P336" s="330"/>
      <c r="Q336" s="330"/>
      <c r="R336" s="330"/>
      <c r="S336" s="330"/>
      <c r="T336" s="330"/>
      <c r="U336" s="330"/>
      <c r="V336" s="330"/>
      <c r="W336" s="330"/>
      <c r="X336" s="196"/>
      <c r="Y336" s="197"/>
      <c r="Z336" s="330"/>
      <c r="AA336" s="330"/>
      <c r="AB336" s="330"/>
      <c r="AC336" s="330"/>
      <c r="AD336" s="330"/>
      <c r="AE336" s="330"/>
      <c r="AF336" s="330"/>
      <c r="AG336" s="330"/>
      <c r="AH336" s="330"/>
      <c r="AI336" s="330"/>
      <c r="AJ336" s="196"/>
      <c r="AK336" s="198"/>
      <c r="AL336" s="330"/>
      <c r="AM336" s="330"/>
      <c r="AN336" s="330"/>
      <c r="AO336" s="330"/>
      <c r="AP336" s="330"/>
      <c r="AQ336" s="330"/>
      <c r="AR336" s="330"/>
      <c r="AS336" s="330"/>
      <c r="AT336" s="330"/>
      <c r="AU336" s="330"/>
      <c r="AV336" s="196"/>
      <c r="AW336" s="198"/>
      <c r="AX336" s="95"/>
      <c r="AY336" s="95"/>
      <c r="AZ336" s="331"/>
      <c r="BA336" s="332"/>
      <c r="BB336" s="332"/>
      <c r="BC336" s="332"/>
      <c r="BD336" s="332"/>
      <c r="BE336" s="333"/>
      <c r="BF336" s="331"/>
      <c r="BG336" s="332"/>
      <c r="BH336" s="332">
        <f>AY336</f>
        <v>0</v>
      </c>
      <c r="BI336" s="333"/>
      <c r="BJ336" s="435"/>
      <c r="BK336" s="491"/>
      <c r="BL336" s="672"/>
      <c r="BM336" s="483"/>
      <c r="BN336" s="150"/>
      <c r="BO336" s="484"/>
      <c r="BP336" s="485"/>
      <c r="BQ336" s="483"/>
      <c r="BR336" s="673"/>
      <c r="BS336" s="487"/>
      <c r="BT336" s="485"/>
      <c r="BU336" s="483"/>
      <c r="BV336" s="673"/>
      <c r="BW336" s="487"/>
      <c r="BX336" s="660"/>
      <c r="BY336" s="488">
        <f t="shared" si="166"/>
        <v>0</v>
      </c>
      <c r="BZ336" s="489">
        <f>M336+BM336+BQ336+BU336</f>
        <v>0</v>
      </c>
      <c r="CA336" s="483">
        <f t="shared" si="168"/>
        <v>0</v>
      </c>
      <c r="CB336" s="491" t="e">
        <f t="shared" si="169"/>
        <v>#DIV/0!</v>
      </c>
      <c r="CC336" s="246">
        <f t="shared" si="162"/>
        <v>0</v>
      </c>
      <c r="CD336" s="661"/>
      <c r="CE336" s="332"/>
      <c r="CF336" s="492">
        <v>32.83</v>
      </c>
      <c r="CG336" s="74"/>
      <c r="CH336" s="74"/>
      <c r="CI336" s="74"/>
      <c r="CJ336" s="74"/>
      <c r="CK336" s="74"/>
      <c r="CL336" s="74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95"/>
      <c r="DB336" s="95"/>
      <c r="DC336" s="76"/>
      <c r="DD336" s="76"/>
      <c r="DE336" s="76"/>
      <c r="DF336" s="76"/>
      <c r="DG336" s="53"/>
      <c r="DI336" s="826"/>
      <c r="DJ336" s="788"/>
    </row>
    <row r="337" spans="1:114" s="783" customFormat="1" ht="24">
      <c r="A337" s="208" t="s">
        <v>241</v>
      </c>
      <c r="B337" s="153" t="s">
        <v>300</v>
      </c>
      <c r="C337" s="833" t="s">
        <v>54</v>
      </c>
      <c r="D337" s="162" t="e">
        <f>D334</f>
        <v>#REF!</v>
      </c>
      <c r="E337" s="162" t="e">
        <f>E334</f>
        <v>#REF!</v>
      </c>
      <c r="F337" s="162" t="e">
        <f>F334</f>
        <v>#REF!</v>
      </c>
      <c r="G337" s="162" t="e">
        <f>G334</f>
        <v>#REF!</v>
      </c>
      <c r="H337" s="162" t="e">
        <f>H334+H335</f>
        <v>#REF!</v>
      </c>
      <c r="I337" s="162" t="e">
        <f>I334+I335</f>
        <v>#REF!</v>
      </c>
      <c r="J337" s="162"/>
      <c r="K337" s="162"/>
      <c r="L337" s="162"/>
      <c r="M337" s="162" t="e">
        <f>M332+M335</f>
        <v>#REF!</v>
      </c>
      <c r="N337" s="162"/>
      <c r="O337" s="162">
        <f>O332</f>
        <v>1287.94</v>
      </c>
      <c r="P337" s="162"/>
      <c r="Q337" s="162"/>
      <c r="R337" s="162"/>
      <c r="S337" s="162"/>
      <c r="T337" s="162"/>
      <c r="U337" s="162"/>
      <c r="V337" s="162"/>
      <c r="W337" s="162"/>
      <c r="X337" s="209"/>
      <c r="Y337" s="210"/>
      <c r="Z337" s="162"/>
      <c r="AA337" s="162" t="e">
        <f>AA332+AA335</f>
        <v>#REF!</v>
      </c>
      <c r="AB337" s="162"/>
      <c r="AC337" s="162" t="e">
        <f>AC332</f>
        <v>#REF!</v>
      </c>
      <c r="AD337" s="162"/>
      <c r="AE337" s="162"/>
      <c r="AF337" s="162"/>
      <c r="AG337" s="162"/>
      <c r="AH337" s="162"/>
      <c r="AI337" s="162"/>
      <c r="AJ337" s="209"/>
      <c r="AK337" s="211"/>
      <c r="AL337" s="162"/>
      <c r="AM337" s="162" t="e">
        <f>AM332+AM335</f>
        <v>#REF!</v>
      </c>
      <c r="AN337" s="162"/>
      <c r="AO337" s="162" t="e">
        <f>AO332</f>
        <v>#REF!</v>
      </c>
      <c r="AP337" s="162"/>
      <c r="AQ337" s="162"/>
      <c r="AR337" s="162"/>
      <c r="AS337" s="162"/>
      <c r="AT337" s="162"/>
      <c r="AU337" s="162"/>
      <c r="AV337" s="209"/>
      <c r="AW337" s="211"/>
      <c r="AX337" s="162" t="e">
        <f>AX334+AX335</f>
        <v>#REF!</v>
      </c>
      <c r="AY337" s="162" t="e">
        <f>AY334</f>
        <v>#REF!</v>
      </c>
      <c r="AZ337" s="343" t="e">
        <f>AZ334+AZ335</f>
        <v>#REF!</v>
      </c>
      <c r="BA337" s="344" t="e">
        <f>BA334+BA335</f>
        <v>#REF!</v>
      </c>
      <c r="BB337" s="344" t="e">
        <f>BB334+BB335</f>
        <v>#REF!</v>
      </c>
      <c r="BC337" s="344" t="e">
        <f>BC334+BC335</f>
        <v>#REF!</v>
      </c>
      <c r="BD337" s="344" t="e">
        <f>BD334</f>
        <v>#REF!</v>
      </c>
      <c r="BE337" s="345" t="e">
        <f>BE334+BE335</f>
        <v>#REF!</v>
      </c>
      <c r="BF337" s="343" t="e">
        <f>BF334+BF335</f>
        <v>#REF!</v>
      </c>
      <c r="BG337" s="344" t="e">
        <f>BG334+BG335</f>
        <v>#REF!</v>
      </c>
      <c r="BH337" s="344">
        <f>BH334+BH336</f>
        <v>-247.29414</v>
      </c>
      <c r="BI337" s="345">
        <f>BI334</f>
        <v>0</v>
      </c>
      <c r="BJ337" s="288"/>
      <c r="BK337" s="515"/>
      <c r="BL337" s="666">
        <f>BL334+BL335</f>
        <v>0</v>
      </c>
      <c r="BM337" s="516" t="e">
        <f>BM332+BM335</f>
        <v>#REF!</v>
      </c>
      <c r="BN337" s="122" t="e">
        <f>BM337-BL337</f>
        <v>#REF!</v>
      </c>
      <c r="BO337" s="409" t="e">
        <f>BM337/BL337</f>
        <v>#REF!</v>
      </c>
      <c r="BP337" s="448"/>
      <c r="BQ337" s="516"/>
      <c r="BR337" s="517"/>
      <c r="BS337" s="518"/>
      <c r="BT337" s="448"/>
      <c r="BU337" s="516"/>
      <c r="BV337" s="517"/>
      <c r="BW337" s="518"/>
      <c r="BX337" s="667" t="e">
        <f>BX334+BX335</f>
        <v>#REF!</v>
      </c>
      <c r="BY337" s="449" t="e">
        <f t="shared" si="166"/>
        <v>#REF!</v>
      </c>
      <c r="BZ337" s="209" t="e">
        <f t="shared" si="167"/>
        <v>#REF!</v>
      </c>
      <c r="CA337" s="516" t="e">
        <f t="shared" si="168"/>
        <v>#REF!</v>
      </c>
      <c r="CB337" s="515" t="e">
        <f t="shared" si="169"/>
        <v>#REF!</v>
      </c>
      <c r="CC337" s="444" t="e">
        <f t="shared" si="162"/>
        <v>#REF!</v>
      </c>
      <c r="CD337" s="668" t="e">
        <f>CD334+CD335</f>
        <v>#REF!</v>
      </c>
      <c r="CE337" s="344" t="e">
        <f>CE334+CE335</f>
        <v>#REF!</v>
      </c>
      <c r="CF337" s="519">
        <f>CF334+CF336</f>
        <v>660.22329999999999</v>
      </c>
      <c r="CG337" s="450"/>
      <c r="CH337" s="450"/>
      <c r="CI337" s="450"/>
      <c r="CJ337" s="450"/>
      <c r="CK337" s="450"/>
      <c r="CL337" s="450"/>
      <c r="CM337" s="451"/>
      <c r="CN337" s="451"/>
      <c r="CO337" s="451"/>
      <c r="CP337" s="451"/>
      <c r="CQ337" s="451"/>
      <c r="CR337" s="451"/>
      <c r="CS337" s="451"/>
      <c r="CT337" s="451"/>
      <c r="CU337" s="451"/>
      <c r="CV337" s="451"/>
      <c r="CW337" s="451"/>
      <c r="CX337" s="451"/>
      <c r="CY337" s="451"/>
      <c r="CZ337" s="451"/>
      <c r="DA337" s="162" t="e">
        <f t="shared" ref="DA337:DG337" si="175">DA334</f>
        <v>#REF!</v>
      </c>
      <c r="DB337" s="162" t="e">
        <f t="shared" si="175"/>
        <v>#REF!</v>
      </c>
      <c r="DC337" s="162">
        <f t="shared" si="175"/>
        <v>51657.599999999999</v>
      </c>
      <c r="DD337" s="162">
        <f t="shared" si="175"/>
        <v>49660.800000000003</v>
      </c>
      <c r="DE337" s="162">
        <f t="shared" si="175"/>
        <v>54886.2</v>
      </c>
      <c r="DF337" s="162" t="e">
        <f t="shared" si="175"/>
        <v>#REF!</v>
      </c>
      <c r="DG337" s="162" t="e">
        <f t="shared" si="175"/>
        <v>#REF!</v>
      </c>
      <c r="DI337" s="826"/>
      <c r="DJ337" s="788"/>
    </row>
    <row r="338" spans="1:114" s="783" customFormat="1">
      <c r="A338" s="247"/>
      <c r="B338" s="779" t="s">
        <v>292</v>
      </c>
      <c r="C338" s="844" t="s">
        <v>83</v>
      </c>
      <c r="D338" s="751">
        <v>396</v>
      </c>
      <c r="E338" s="751" t="e">
        <f>E337/E23</f>
        <v>#REF!</v>
      </c>
      <c r="F338" s="751" t="e">
        <f>F337/F23</f>
        <v>#REF!</v>
      </c>
      <c r="G338" s="751" t="e">
        <f>G337/G23</f>
        <v>#REF!</v>
      </c>
      <c r="H338" s="752" t="e">
        <f>(H337+H342)/H24</f>
        <v>#REF!</v>
      </c>
      <c r="I338" s="752"/>
      <c r="J338" s="752"/>
      <c r="K338" s="752"/>
      <c r="L338" s="752" t="e">
        <f>L332/L23</f>
        <v>#REF!</v>
      </c>
      <c r="M338" s="752" t="e">
        <f>M337/M23</f>
        <v>#REF!</v>
      </c>
      <c r="N338" s="752"/>
      <c r="O338" s="752" t="e">
        <f>O332/O23</f>
        <v>#REF!</v>
      </c>
      <c r="P338" s="752"/>
      <c r="Q338" s="752"/>
      <c r="R338" s="752"/>
      <c r="S338" s="752"/>
      <c r="T338" s="752"/>
      <c r="U338" s="752"/>
      <c r="V338" s="752"/>
      <c r="W338" s="752"/>
      <c r="X338" s="753"/>
      <c r="Y338" s="754"/>
      <c r="Z338" s="752" t="e">
        <f>Z332/Z23</f>
        <v>#REF!</v>
      </c>
      <c r="AA338" s="752" t="e">
        <f>AA337/AA23</f>
        <v>#REF!</v>
      </c>
      <c r="AB338" s="752"/>
      <c r="AC338" s="752" t="e">
        <f>AC332/AC23</f>
        <v>#REF!</v>
      </c>
      <c r="AD338" s="752"/>
      <c r="AE338" s="752"/>
      <c r="AF338" s="752"/>
      <c r="AG338" s="752"/>
      <c r="AH338" s="752"/>
      <c r="AI338" s="752"/>
      <c r="AJ338" s="753"/>
      <c r="AK338" s="755"/>
      <c r="AL338" s="752" t="e">
        <f>AL332/AL23</f>
        <v>#REF!</v>
      </c>
      <c r="AM338" s="752" t="e">
        <f>AM337/AM23</f>
        <v>#REF!</v>
      </c>
      <c r="AN338" s="752"/>
      <c r="AO338" s="752" t="e">
        <f>AO332/AO23</f>
        <v>#REF!</v>
      </c>
      <c r="AP338" s="752"/>
      <c r="AQ338" s="752"/>
      <c r="AR338" s="752"/>
      <c r="AS338" s="752"/>
      <c r="AT338" s="752"/>
      <c r="AU338" s="752"/>
      <c r="AV338" s="753"/>
      <c r="AW338" s="755"/>
      <c r="AX338" s="756"/>
      <c r="AY338" s="756">
        <f>AY31/AY23</f>
        <v>361.19251138158506</v>
      </c>
      <c r="AZ338" s="757" t="e">
        <f>(AZ337+AZ342)/AZ24</f>
        <v>#REF!</v>
      </c>
      <c r="BA338" s="758" t="e">
        <f>(BA337+BA342)/BA23</f>
        <v>#REF!</v>
      </c>
      <c r="BB338" s="758"/>
      <c r="BC338" s="758"/>
      <c r="BD338" s="758" t="e">
        <f>BD337/BD23</f>
        <v>#REF!</v>
      </c>
      <c r="BE338" s="759" t="e">
        <f>BE337/BE23</f>
        <v>#REF!</v>
      </c>
      <c r="BF338" s="757"/>
      <c r="BG338" s="758"/>
      <c r="BH338" s="758"/>
      <c r="BI338" s="760"/>
      <c r="BJ338" s="417"/>
      <c r="BK338" s="554"/>
      <c r="BL338" s="761"/>
      <c r="BM338" s="587"/>
      <c r="BN338" s="255"/>
      <c r="BO338" s="585"/>
      <c r="BP338" s="586"/>
      <c r="BQ338" s="587"/>
      <c r="BR338" s="762"/>
      <c r="BS338" s="589"/>
      <c r="BT338" s="586"/>
      <c r="BU338" s="587"/>
      <c r="BV338" s="762"/>
      <c r="BW338" s="589"/>
      <c r="BX338" s="763"/>
      <c r="BY338" s="591">
        <f>BY32/BY24</f>
        <v>27.987843137254902</v>
      </c>
      <c r="BZ338" s="592">
        <v>223.78</v>
      </c>
      <c r="CA338" s="587">
        <f t="shared" si="168"/>
        <v>195.79215686274509</v>
      </c>
      <c r="CB338" s="594">
        <f t="shared" si="169"/>
        <v>7.9956143423615291</v>
      </c>
      <c r="CC338" s="22"/>
      <c r="CD338" s="764"/>
      <c r="CE338" s="765"/>
      <c r="CF338" s="597"/>
      <c r="CG338" s="687"/>
      <c r="CH338" s="687"/>
      <c r="CI338" s="687"/>
      <c r="CJ338" s="687"/>
      <c r="CK338" s="687"/>
      <c r="CL338" s="687"/>
      <c r="CM338" s="688"/>
      <c r="CN338" s="688"/>
      <c r="CO338" s="688"/>
      <c r="CP338" s="688"/>
      <c r="CQ338" s="688"/>
      <c r="CR338" s="688"/>
      <c r="CS338" s="688"/>
      <c r="CT338" s="688"/>
      <c r="CU338" s="688"/>
      <c r="CV338" s="688"/>
      <c r="CW338" s="688"/>
      <c r="CX338" s="688"/>
      <c r="CY338" s="688"/>
      <c r="CZ338" s="688"/>
      <c r="DA338" s="756" t="e">
        <f>DA337/DA23</f>
        <v>#REF!</v>
      </c>
      <c r="DB338" s="756" t="e">
        <f>DB337/DB23</f>
        <v>#REF!</v>
      </c>
      <c r="DC338" s="751">
        <f>DC337/DC23</f>
        <v>479.99999999999994</v>
      </c>
      <c r="DD338" s="751">
        <v>480</v>
      </c>
      <c r="DE338" s="751">
        <f>DE337/DE23</f>
        <v>509.99999999999994</v>
      </c>
      <c r="DF338" s="751" t="e">
        <f>DF337/DF23</f>
        <v>#REF!</v>
      </c>
      <c r="DG338" s="751" t="e">
        <f>DG337/DG23</f>
        <v>#REF!</v>
      </c>
      <c r="DI338" s="826"/>
      <c r="DJ338" s="788"/>
    </row>
    <row r="339" spans="1:114" s="783" customFormat="1" ht="12" customHeight="1">
      <c r="A339" s="365"/>
      <c r="B339" s="366" t="s">
        <v>290</v>
      </c>
      <c r="C339" s="840" t="s">
        <v>86</v>
      </c>
      <c r="D339" s="367">
        <v>0.15429999999999999</v>
      </c>
      <c r="E339" s="367">
        <v>0.15429999999999999</v>
      </c>
      <c r="F339" s="367">
        <v>0.15429999999999999</v>
      </c>
      <c r="G339" s="367">
        <v>0.15429999999999999</v>
      </c>
      <c r="H339" s="368">
        <v>0.20799999999999999</v>
      </c>
      <c r="I339" s="369"/>
      <c r="J339" s="369"/>
      <c r="K339" s="369"/>
      <c r="L339" s="369"/>
      <c r="M339" s="369"/>
      <c r="N339" s="369"/>
      <c r="O339" s="368">
        <v>0.20799999999999999</v>
      </c>
      <c r="P339" s="368"/>
      <c r="Q339" s="368"/>
      <c r="R339" s="369"/>
      <c r="S339" s="369"/>
      <c r="T339" s="369"/>
      <c r="U339" s="369"/>
      <c r="V339" s="369"/>
      <c r="W339" s="369"/>
      <c r="X339" s="370"/>
      <c r="Y339" s="371"/>
      <c r="Z339" s="369"/>
      <c r="AA339" s="369"/>
      <c r="AB339" s="369"/>
      <c r="AC339" s="368">
        <v>0.20799999999999999</v>
      </c>
      <c r="AD339" s="369"/>
      <c r="AE339" s="369"/>
      <c r="AF339" s="369"/>
      <c r="AG339" s="369"/>
      <c r="AH339" s="369"/>
      <c r="AI339" s="369"/>
      <c r="AJ339" s="370"/>
      <c r="AK339" s="372"/>
      <c r="AL339" s="369"/>
      <c r="AM339" s="369"/>
      <c r="AN339" s="369"/>
      <c r="AO339" s="368">
        <v>0.20799999999999999</v>
      </c>
      <c r="AP339" s="369"/>
      <c r="AQ339" s="369"/>
      <c r="AR339" s="369"/>
      <c r="AS339" s="369"/>
      <c r="AT339" s="369"/>
      <c r="AU339" s="369"/>
      <c r="AV339" s="370"/>
      <c r="AW339" s="372"/>
      <c r="AX339" s="373"/>
      <c r="AY339" s="367">
        <v>0.18260000000000001</v>
      </c>
      <c r="AZ339" s="374">
        <v>0.20799999999999999</v>
      </c>
      <c r="BA339" s="375">
        <v>0.2354</v>
      </c>
      <c r="BB339" s="376"/>
      <c r="BC339" s="376"/>
      <c r="BD339" s="376"/>
      <c r="BE339" s="377"/>
      <c r="BF339" s="689"/>
      <c r="BG339" s="376"/>
      <c r="BH339" s="376"/>
      <c r="BI339" s="377"/>
      <c r="BJ339" s="426"/>
      <c r="BK339" s="46"/>
      <c r="BL339" s="690"/>
      <c r="BM339" s="691"/>
      <c r="BN339" s="692"/>
      <c r="BO339" s="514"/>
      <c r="BP339" s="693"/>
      <c r="BQ339" s="691"/>
      <c r="BR339" s="694"/>
      <c r="BS339" s="695"/>
      <c r="BT339" s="693"/>
      <c r="BU339" s="691"/>
      <c r="BV339" s="694"/>
      <c r="BW339" s="695"/>
      <c r="BX339" s="696"/>
      <c r="BY339" s="697">
        <v>0.20799999999999999</v>
      </c>
      <c r="BZ339" s="698">
        <v>0.20799999999999999</v>
      </c>
      <c r="CA339" s="691"/>
      <c r="CB339" s="482"/>
      <c r="CC339" s="246"/>
      <c r="CD339" s="699"/>
      <c r="CE339" s="700"/>
      <c r="CF339" s="701"/>
      <c r="CG339" s="702"/>
      <c r="CH339" s="702"/>
      <c r="CI339" s="702"/>
      <c r="CJ339" s="702"/>
      <c r="CK339" s="702"/>
      <c r="CL339" s="702"/>
      <c r="CM339" s="703"/>
      <c r="CN339" s="703"/>
      <c r="CO339" s="703"/>
      <c r="CP339" s="703"/>
      <c r="CQ339" s="703"/>
      <c r="CR339" s="703"/>
      <c r="CS339" s="703"/>
      <c r="CT339" s="703"/>
      <c r="CU339" s="703"/>
      <c r="CV339" s="703"/>
      <c r="CW339" s="703"/>
      <c r="CX339" s="703"/>
      <c r="CY339" s="703"/>
      <c r="CZ339" s="703"/>
      <c r="DA339" s="367">
        <v>0.15429999999999999</v>
      </c>
      <c r="DB339" s="367">
        <v>0.23300000000000001</v>
      </c>
      <c r="DC339" s="367">
        <v>0.188</v>
      </c>
      <c r="DD339" s="367">
        <v>0.188</v>
      </c>
      <c r="DE339" s="367">
        <v>0.188</v>
      </c>
      <c r="DF339" s="367">
        <v>0.16819999999999999</v>
      </c>
      <c r="DG339" s="367">
        <v>0.17524000000000001</v>
      </c>
      <c r="DI339" s="826"/>
      <c r="DJ339" s="788"/>
    </row>
    <row r="340" spans="1:114" s="783" customFormat="1" ht="12.75" customHeight="1">
      <c r="A340" s="358"/>
      <c r="B340" s="359" t="s">
        <v>84</v>
      </c>
      <c r="C340" s="840" t="s">
        <v>83</v>
      </c>
      <c r="D340" s="361">
        <f>D338*D339</f>
        <v>61.102799999999995</v>
      </c>
      <c r="E340" s="361" t="e">
        <f>E338*E339</f>
        <v>#REF!</v>
      </c>
      <c r="F340" s="361" t="e">
        <f>F338*F339</f>
        <v>#REF!</v>
      </c>
      <c r="G340" s="361" t="e">
        <f>G338*G339</f>
        <v>#REF!</v>
      </c>
      <c r="H340" s="162" t="e">
        <f>H338*H339</f>
        <v>#REF!</v>
      </c>
      <c r="I340" s="162"/>
      <c r="J340" s="162"/>
      <c r="K340" s="162"/>
      <c r="L340" s="162"/>
      <c r="M340" s="162"/>
      <c r="N340" s="162"/>
      <c r="O340" s="162" t="e">
        <f>O338*O339</f>
        <v>#REF!</v>
      </c>
      <c r="P340" s="162"/>
      <c r="Q340" s="162"/>
      <c r="R340" s="162"/>
      <c r="S340" s="162">
        <f>S332/S23</f>
        <v>1372.4267334212288</v>
      </c>
      <c r="T340" s="162"/>
      <c r="U340" s="162" t="e">
        <f>U332/U23</f>
        <v>#REF!</v>
      </c>
      <c r="V340" s="162" t="e">
        <f>V332/V23</f>
        <v>#REF!</v>
      </c>
      <c r="W340" s="162"/>
      <c r="X340" s="209"/>
      <c r="Y340" s="210"/>
      <c r="Z340" s="162"/>
      <c r="AA340" s="162"/>
      <c r="AB340" s="162"/>
      <c r="AC340" s="162" t="e">
        <f>AC338*AC339</f>
        <v>#REF!</v>
      </c>
      <c r="AD340" s="162"/>
      <c r="AE340" s="162" t="e">
        <f>AE332/AE23</f>
        <v>#REF!</v>
      </c>
      <c r="AF340" s="162"/>
      <c r="AG340" s="162" t="e">
        <f>AG332/AG23</f>
        <v>#REF!</v>
      </c>
      <c r="AH340" s="162" t="e">
        <f>AH332/AH23</f>
        <v>#REF!</v>
      </c>
      <c r="AI340" s="162"/>
      <c r="AJ340" s="209"/>
      <c r="AK340" s="211"/>
      <c r="AL340" s="162"/>
      <c r="AM340" s="162"/>
      <c r="AN340" s="162"/>
      <c r="AO340" s="162" t="e">
        <f>AO338*AO339</f>
        <v>#REF!</v>
      </c>
      <c r="AP340" s="162"/>
      <c r="AQ340" s="162" t="e">
        <f>AQ332/AQ23</f>
        <v>#REF!</v>
      </c>
      <c r="AR340" s="162"/>
      <c r="AS340" s="162" t="e">
        <f>AS332/AS23</f>
        <v>#REF!</v>
      </c>
      <c r="AT340" s="162" t="e">
        <f>AT332/AT23</f>
        <v>#REF!</v>
      </c>
      <c r="AU340" s="162"/>
      <c r="AV340" s="209"/>
      <c r="AW340" s="211"/>
      <c r="AX340" s="362"/>
      <c r="AY340" s="361">
        <f>AY338*AY339</f>
        <v>65.953752578277431</v>
      </c>
      <c r="AZ340" s="378" t="e">
        <f>AZ338*AZ339</f>
        <v>#REF!</v>
      </c>
      <c r="BA340" s="379" t="e">
        <f>BA338*BA339</f>
        <v>#REF!</v>
      </c>
      <c r="BB340" s="364"/>
      <c r="BC340" s="364"/>
      <c r="BD340" s="364"/>
      <c r="BE340" s="380"/>
      <c r="BF340" s="363"/>
      <c r="BG340" s="364"/>
      <c r="BH340" s="364"/>
      <c r="BI340" s="380"/>
      <c r="BJ340" s="426"/>
      <c r="BK340" s="481"/>
      <c r="BL340" s="675"/>
      <c r="BM340" s="676"/>
      <c r="BN340" s="677"/>
      <c r="BO340" s="484"/>
      <c r="BP340" s="678"/>
      <c r="BQ340" s="676"/>
      <c r="BR340" s="679"/>
      <c r="BS340" s="680"/>
      <c r="BT340" s="678"/>
      <c r="BU340" s="676"/>
      <c r="BV340" s="679"/>
      <c r="BW340" s="680"/>
      <c r="BX340" s="681"/>
      <c r="BY340" s="682">
        <f>BY338*BY339</f>
        <v>5.821471372549019</v>
      </c>
      <c r="BZ340" s="683">
        <f>BZ338*BZ339</f>
        <v>46.546239999999997</v>
      </c>
      <c r="CA340" s="676"/>
      <c r="CB340" s="493"/>
      <c r="CC340" s="246"/>
      <c r="CD340" s="684"/>
      <c r="CE340" s="685"/>
      <c r="CF340" s="686"/>
      <c r="CG340" s="687"/>
      <c r="CH340" s="687"/>
      <c r="CI340" s="687"/>
      <c r="CJ340" s="687"/>
      <c r="CK340" s="687"/>
      <c r="CL340" s="687"/>
      <c r="CM340" s="688"/>
      <c r="CN340" s="688"/>
      <c r="CO340" s="688"/>
      <c r="CP340" s="688"/>
      <c r="CQ340" s="688"/>
      <c r="CR340" s="688"/>
      <c r="CS340" s="688"/>
      <c r="CT340" s="688"/>
      <c r="CU340" s="688"/>
      <c r="CV340" s="688"/>
      <c r="CW340" s="688"/>
      <c r="CX340" s="688"/>
      <c r="CY340" s="688"/>
      <c r="CZ340" s="688"/>
      <c r="DA340" s="361" t="e">
        <f t="shared" ref="DA340:DG340" si="176">DA338*DA339</f>
        <v>#REF!</v>
      </c>
      <c r="DB340" s="361" t="e">
        <f t="shared" si="176"/>
        <v>#REF!</v>
      </c>
      <c r="DC340" s="361">
        <v>90</v>
      </c>
      <c r="DD340" s="361">
        <f t="shared" si="176"/>
        <v>90.24</v>
      </c>
      <c r="DE340" s="361">
        <v>95.9</v>
      </c>
      <c r="DF340" s="361" t="e">
        <f t="shared" si="176"/>
        <v>#REF!</v>
      </c>
      <c r="DG340" s="362" t="e">
        <f t="shared" si="176"/>
        <v>#REF!</v>
      </c>
      <c r="DI340" s="826"/>
      <c r="DJ340" s="788"/>
    </row>
    <row r="341" spans="1:114" s="783" customFormat="1" hidden="1">
      <c r="A341" s="358"/>
      <c r="B341" s="359" t="s">
        <v>85</v>
      </c>
      <c r="C341" s="840" t="s">
        <v>83</v>
      </c>
      <c r="D341" s="711">
        <v>396</v>
      </c>
      <c r="E341" s="711">
        <v>428</v>
      </c>
      <c r="F341" s="711">
        <v>428</v>
      </c>
      <c r="G341" s="711">
        <v>428</v>
      </c>
      <c r="H341" s="357"/>
      <c r="I341" s="357" t="e">
        <f>(I337+I342)/I23</f>
        <v>#REF!</v>
      </c>
      <c r="J341" s="357"/>
      <c r="K341" s="357"/>
      <c r="L341" s="357"/>
      <c r="M341" s="357"/>
      <c r="N341" s="357"/>
      <c r="O341" s="357"/>
      <c r="P341" s="357"/>
      <c r="Q341" s="357"/>
      <c r="R341" s="357"/>
      <c r="S341" s="357"/>
      <c r="T341" s="357"/>
      <c r="U341" s="357"/>
      <c r="V341" s="357"/>
      <c r="W341" s="357"/>
      <c r="X341" s="674"/>
      <c r="Y341" s="712"/>
      <c r="Z341" s="357"/>
      <c r="AA341" s="357"/>
      <c r="AB341" s="357"/>
      <c r="AC341" s="357"/>
      <c r="AD341" s="357"/>
      <c r="AE341" s="357"/>
      <c r="AF341" s="357"/>
      <c r="AG341" s="357"/>
      <c r="AH341" s="357"/>
      <c r="AI341" s="357"/>
      <c r="AJ341" s="674"/>
      <c r="AK341" s="713"/>
      <c r="AL341" s="357"/>
      <c r="AM341" s="357"/>
      <c r="AN341" s="357"/>
      <c r="AO341" s="357"/>
      <c r="AP341" s="357"/>
      <c r="AQ341" s="357"/>
      <c r="AR341" s="357"/>
      <c r="AS341" s="357"/>
      <c r="AT341" s="357"/>
      <c r="AU341" s="357"/>
      <c r="AV341" s="674"/>
      <c r="AW341" s="713"/>
      <c r="AX341" s="360"/>
      <c r="AY341" s="711" t="e">
        <f>BC341</f>
        <v>#REF!</v>
      </c>
      <c r="AZ341" s="714"/>
      <c r="BA341" s="685"/>
      <c r="BB341" s="685" t="e">
        <f>(BB337+BB342)/BB23</f>
        <v>#REF!</v>
      </c>
      <c r="BC341" s="715" t="e">
        <f>(BC337+BC342)/BC23</f>
        <v>#REF!</v>
      </c>
      <c r="BD341" s="685"/>
      <c r="BE341" s="716"/>
      <c r="BF341" s="714"/>
      <c r="BG341" s="685"/>
      <c r="BH341" s="685"/>
      <c r="BI341" s="716"/>
      <c r="BJ341" s="435"/>
      <c r="BK341" s="493"/>
      <c r="BL341" s="675"/>
      <c r="BM341" s="676"/>
      <c r="BN341" s="677"/>
      <c r="BO341" s="484"/>
      <c r="BP341" s="678"/>
      <c r="BQ341" s="676"/>
      <c r="BR341" s="679"/>
      <c r="BS341" s="680"/>
      <c r="BT341" s="678"/>
      <c r="BU341" s="676"/>
      <c r="BV341" s="679"/>
      <c r="BW341" s="680"/>
      <c r="BX341" s="681"/>
      <c r="BY341" s="682">
        <f>F33/F27</f>
        <v>428.05017822868109</v>
      </c>
      <c r="BZ341" s="683">
        <v>338.57</v>
      </c>
      <c r="CA341" s="676"/>
      <c r="CB341" s="493"/>
      <c r="CC341" s="246"/>
      <c r="CD341" s="684"/>
      <c r="CE341" s="685"/>
      <c r="CF341" s="686"/>
      <c r="CG341" s="687"/>
      <c r="CH341" s="687"/>
      <c r="CI341" s="687"/>
      <c r="CJ341" s="687"/>
      <c r="CK341" s="687"/>
      <c r="CL341" s="687"/>
      <c r="CM341" s="688"/>
      <c r="CN341" s="688"/>
      <c r="CO341" s="688"/>
      <c r="CP341" s="688"/>
      <c r="CQ341" s="688"/>
      <c r="CR341" s="688"/>
      <c r="CS341" s="688"/>
      <c r="CT341" s="688"/>
      <c r="CU341" s="688"/>
      <c r="CV341" s="688"/>
      <c r="CW341" s="688"/>
      <c r="CX341" s="688"/>
      <c r="CY341" s="688"/>
      <c r="CZ341" s="688"/>
      <c r="DA341" s="711" t="e">
        <f>DA338</f>
        <v>#REF!</v>
      </c>
      <c r="DB341" s="711" t="e">
        <f>DB338</f>
        <v>#REF!</v>
      </c>
      <c r="DC341" s="711">
        <v>428</v>
      </c>
      <c r="DD341" s="711">
        <v>428</v>
      </c>
      <c r="DE341" s="711">
        <v>428</v>
      </c>
      <c r="DF341" s="711">
        <v>428</v>
      </c>
      <c r="DG341" s="856">
        <v>428</v>
      </c>
      <c r="DI341" s="826"/>
      <c r="DJ341" s="788"/>
    </row>
    <row r="342" spans="1:114" s="783" customFormat="1">
      <c r="A342" s="208" t="s">
        <v>242</v>
      </c>
      <c r="B342" s="153" t="s">
        <v>46</v>
      </c>
      <c r="C342" s="857" t="s">
        <v>54</v>
      </c>
      <c r="D342" s="162" t="e">
        <f t="shared" ref="D342:I342" si="177">D333-D335</f>
        <v>#REF!</v>
      </c>
      <c r="E342" s="162" t="e">
        <f t="shared" si="177"/>
        <v>#REF!</v>
      </c>
      <c r="F342" s="162" t="e">
        <f t="shared" si="177"/>
        <v>#REF!</v>
      </c>
      <c r="G342" s="162" t="e">
        <f t="shared" si="177"/>
        <v>#REF!</v>
      </c>
      <c r="H342" s="162" t="e">
        <f t="shared" si="177"/>
        <v>#REF!</v>
      </c>
      <c r="I342" s="162" t="e">
        <f t="shared" si="177"/>
        <v>#REF!</v>
      </c>
      <c r="J342" s="162"/>
      <c r="K342" s="162"/>
      <c r="L342" s="162"/>
      <c r="M342" s="162" t="e">
        <f>M31-M337</f>
        <v>#REF!</v>
      </c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209"/>
      <c r="Y342" s="210"/>
      <c r="Z342" s="162"/>
      <c r="AA342" s="162" t="e">
        <f>AA31-AA337</f>
        <v>#REF!</v>
      </c>
      <c r="AB342" s="162"/>
      <c r="AC342" s="162"/>
      <c r="AD342" s="162"/>
      <c r="AE342" s="162"/>
      <c r="AF342" s="162"/>
      <c r="AG342" s="162"/>
      <c r="AH342" s="162"/>
      <c r="AI342" s="162"/>
      <c r="AJ342" s="209"/>
      <c r="AK342" s="211"/>
      <c r="AL342" s="162"/>
      <c r="AM342" s="162" t="e">
        <f>AM31-AM337</f>
        <v>#REF!</v>
      </c>
      <c r="AN342" s="162"/>
      <c r="AO342" s="162"/>
      <c r="AP342" s="162"/>
      <c r="AQ342" s="162"/>
      <c r="AR342" s="162"/>
      <c r="AS342" s="162"/>
      <c r="AT342" s="162"/>
      <c r="AU342" s="162"/>
      <c r="AV342" s="209"/>
      <c r="AW342" s="211"/>
      <c r="AX342" s="162" t="e">
        <f>AX333-AX335</f>
        <v>#REF!</v>
      </c>
      <c r="AY342" s="162" t="e">
        <f>AY333-AY335-AY336</f>
        <v>#REF!</v>
      </c>
      <c r="AZ342" s="343" t="e">
        <f t="shared" ref="AZ342:BG342" si="178">AZ333-AZ335</f>
        <v>#REF!</v>
      </c>
      <c r="BA342" s="344" t="e">
        <f t="shared" si="178"/>
        <v>#REF!</v>
      </c>
      <c r="BB342" s="344" t="e">
        <f t="shared" si="178"/>
        <v>#REF!</v>
      </c>
      <c r="BC342" s="344" t="e">
        <f t="shared" si="178"/>
        <v>#REF!</v>
      </c>
      <c r="BD342" s="344" t="e">
        <f t="shared" si="178"/>
        <v>#REF!</v>
      </c>
      <c r="BE342" s="345" t="e">
        <f>BE333-BE335</f>
        <v>#REF!</v>
      </c>
      <c r="BF342" s="343" t="e">
        <f>BF333-BF335</f>
        <v>#REF!</v>
      </c>
      <c r="BG342" s="344" t="e">
        <f t="shared" si="178"/>
        <v>#REF!</v>
      </c>
      <c r="BH342" s="344">
        <f>BH333-BH336</f>
        <v>247.29414</v>
      </c>
      <c r="BI342" s="345">
        <f>BI333-BI335</f>
        <v>0</v>
      </c>
      <c r="BJ342" s="288"/>
      <c r="BK342" s="515"/>
      <c r="BL342" s="666">
        <f>BL31-BL337</f>
        <v>0</v>
      </c>
      <c r="BM342" s="516" t="e">
        <f>BM31-BM337</f>
        <v>#REF!</v>
      </c>
      <c r="BN342" s="122" t="e">
        <f>BM342-BL342</f>
        <v>#REF!</v>
      </c>
      <c r="BO342" s="409" t="e">
        <f>BM342/BL342</f>
        <v>#REF!</v>
      </c>
      <c r="BP342" s="448"/>
      <c r="BQ342" s="516"/>
      <c r="BR342" s="517"/>
      <c r="BS342" s="518"/>
      <c r="BT342" s="448"/>
      <c r="BU342" s="516"/>
      <c r="BV342" s="517"/>
      <c r="BW342" s="518"/>
      <c r="BX342" s="667" t="e">
        <f>BX333-BX335</f>
        <v>#REF!</v>
      </c>
      <c r="BY342" s="449" t="e">
        <f t="shared" si="166"/>
        <v>#REF!</v>
      </c>
      <c r="BZ342" s="209">
        <f>BZ31-BZ334-BZ335-BZ336</f>
        <v>5769.9029300000002</v>
      </c>
      <c r="CA342" s="516" t="e">
        <f t="shared" si="168"/>
        <v>#REF!</v>
      </c>
      <c r="CB342" s="515" t="e">
        <f t="shared" si="169"/>
        <v>#REF!</v>
      </c>
      <c r="CC342" s="414" t="e">
        <f>BZ342-E342</f>
        <v>#REF!</v>
      </c>
      <c r="CD342" s="668" t="e">
        <f>CD31-CD337</f>
        <v>#REF!</v>
      </c>
      <c r="CE342" s="344" t="e">
        <f>CE31-CE337</f>
        <v>#REF!</v>
      </c>
      <c r="CF342" s="519">
        <f>CF31-CF337</f>
        <v>1716.5367000000001</v>
      </c>
      <c r="CG342" s="450"/>
      <c r="CH342" s="450"/>
      <c r="CI342" s="450"/>
      <c r="CJ342" s="450"/>
      <c r="CK342" s="450"/>
      <c r="CL342" s="450"/>
      <c r="CM342" s="451"/>
      <c r="CN342" s="451"/>
      <c r="CO342" s="451"/>
      <c r="CP342" s="451"/>
      <c r="CQ342" s="451"/>
      <c r="CR342" s="451"/>
      <c r="CS342" s="451"/>
      <c r="CT342" s="451"/>
      <c r="CU342" s="451"/>
      <c r="CV342" s="451"/>
      <c r="CW342" s="451"/>
      <c r="CX342" s="451"/>
      <c r="CY342" s="451"/>
      <c r="CZ342" s="451"/>
      <c r="DA342" s="162" t="e">
        <f t="shared" ref="DA342:DG342" si="179">DA333-DA335</f>
        <v>#REF!</v>
      </c>
      <c r="DB342" s="162" t="e">
        <f t="shared" si="179"/>
        <v>#REF!</v>
      </c>
      <c r="DC342" s="162">
        <f t="shared" si="179"/>
        <v>633.19998000000055</v>
      </c>
      <c r="DD342" s="162">
        <f t="shared" si="179"/>
        <v>1346.3980300000042</v>
      </c>
      <c r="DE342" s="162">
        <f t="shared" si="179"/>
        <v>1558.6401299999957</v>
      </c>
      <c r="DF342" s="162" t="e">
        <f t="shared" si="179"/>
        <v>#REF!</v>
      </c>
      <c r="DG342" s="162" t="e">
        <f t="shared" si="179"/>
        <v>#REF!</v>
      </c>
      <c r="DI342" s="826"/>
      <c r="DJ342" s="788"/>
    </row>
    <row r="343" spans="1:114" s="783" customFormat="1">
      <c r="A343" s="780"/>
      <c r="B343" s="43"/>
      <c r="C343" s="781"/>
      <c r="D343" s="858"/>
      <c r="E343" s="858"/>
      <c r="F343" s="858"/>
      <c r="G343" s="858"/>
      <c r="H343" s="858"/>
      <c r="I343" s="858"/>
      <c r="J343" s="858"/>
      <c r="K343" s="858"/>
      <c r="L343" s="858"/>
      <c r="M343" s="782"/>
      <c r="N343" s="782"/>
      <c r="O343" s="782"/>
      <c r="P343" s="782"/>
      <c r="Q343" s="782"/>
      <c r="R343" s="782"/>
      <c r="S343" s="782"/>
      <c r="T343" s="782"/>
      <c r="U343" s="782"/>
      <c r="V343" s="782"/>
      <c r="W343" s="782"/>
      <c r="X343" s="74"/>
      <c r="Y343" s="786"/>
      <c r="Z343" s="858"/>
      <c r="AA343" s="782"/>
      <c r="AB343" s="782"/>
      <c r="AC343" s="782"/>
      <c r="AD343" s="782"/>
      <c r="AE343" s="782"/>
      <c r="AF343" s="782"/>
      <c r="AG343" s="782"/>
      <c r="AH343" s="782"/>
      <c r="AI343" s="782"/>
      <c r="AJ343" s="74"/>
      <c r="AK343" s="786"/>
      <c r="AL343" s="786"/>
      <c r="AM343" s="786"/>
      <c r="AN343" s="786"/>
      <c r="AO343" s="786"/>
      <c r="AP343" s="786"/>
      <c r="AQ343" s="786"/>
      <c r="AR343" s="786"/>
      <c r="AS343" s="786"/>
      <c r="AT343" s="786"/>
      <c r="AU343" s="786"/>
      <c r="AV343" s="786"/>
      <c r="AW343" s="786"/>
      <c r="AX343" s="786"/>
      <c r="AY343" s="786"/>
      <c r="AZ343" s="786"/>
      <c r="BA343" s="786"/>
      <c r="BB343" s="786"/>
      <c r="BC343" s="786"/>
      <c r="BD343" s="786"/>
      <c r="BE343" s="786"/>
      <c r="BF343" s="786"/>
      <c r="BG343" s="786"/>
      <c r="BH343" s="786"/>
      <c r="BI343" s="786"/>
      <c r="BJ343" s="786"/>
      <c r="BK343" s="786"/>
      <c r="BL343" s="785"/>
      <c r="BM343" s="785"/>
      <c r="BN343" s="74"/>
      <c r="BO343" s="786"/>
      <c r="BP343" s="785"/>
      <c r="BQ343" s="785"/>
      <c r="BR343" s="74"/>
      <c r="BS343" s="786"/>
      <c r="BT343" s="785"/>
      <c r="BU343" s="785"/>
      <c r="BV343" s="74"/>
      <c r="BW343" s="786"/>
      <c r="BX343" s="786"/>
      <c r="BY343" s="74"/>
      <c r="BZ343" s="74"/>
      <c r="CA343" s="74"/>
      <c r="CB343" s="74"/>
      <c r="CC343" s="74"/>
      <c r="CD343" s="74"/>
      <c r="CE343" s="74"/>
      <c r="CF343" s="74"/>
      <c r="CG343" s="74"/>
      <c r="CH343" s="74"/>
      <c r="CI343" s="74"/>
      <c r="CJ343" s="74"/>
      <c r="CK343" s="74"/>
      <c r="CL343" s="74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  <c r="CZ343" s="75"/>
      <c r="DA343" s="786"/>
      <c r="DB343" s="786"/>
      <c r="DC343" s="858"/>
      <c r="DD343" s="858"/>
      <c r="DE343" s="858"/>
      <c r="DF343" s="858"/>
      <c r="DG343" s="858"/>
      <c r="DI343" s="75"/>
      <c r="DJ343" s="788"/>
    </row>
    <row r="344" spans="1:114" s="783" customFormat="1" ht="14.25" customHeight="1">
      <c r="A344" s="859"/>
      <c r="B344" s="782"/>
      <c r="C344" s="782"/>
      <c r="D344" s="858"/>
      <c r="E344" s="858"/>
      <c r="F344" s="858"/>
      <c r="G344" s="858"/>
      <c r="H344" s="858"/>
      <c r="I344" s="858"/>
      <c r="J344" s="858"/>
      <c r="K344" s="858"/>
      <c r="L344" s="858"/>
      <c r="M344" s="858"/>
      <c r="N344" s="858"/>
      <c r="O344" s="858"/>
      <c r="P344" s="858"/>
      <c r="Q344" s="858"/>
      <c r="R344" s="858"/>
      <c r="S344" s="858"/>
      <c r="T344" s="858"/>
      <c r="U344" s="858"/>
      <c r="V344" s="858"/>
      <c r="W344" s="858"/>
      <c r="X344" s="858"/>
      <c r="Y344" s="782"/>
      <c r="Z344" s="782"/>
      <c r="AA344" s="782"/>
      <c r="AB344" s="782"/>
      <c r="AC344" s="782"/>
      <c r="AD344" s="782"/>
      <c r="AE344" s="782"/>
      <c r="AF344" s="782"/>
      <c r="AG344" s="782"/>
      <c r="AH344" s="74"/>
      <c r="AI344" s="786"/>
      <c r="AJ344" s="786"/>
      <c r="AK344" s="786"/>
      <c r="AL344" s="786"/>
      <c r="AM344" s="786"/>
      <c r="AN344" s="786"/>
      <c r="AO344" s="786"/>
      <c r="AP344" s="786"/>
      <c r="AQ344" s="786"/>
      <c r="AR344" s="786"/>
      <c r="AS344" s="786"/>
      <c r="AT344" s="786"/>
      <c r="AU344" s="786"/>
      <c r="AV344" s="786"/>
      <c r="AW344" s="786"/>
      <c r="AX344" s="786"/>
      <c r="AY344" s="786"/>
      <c r="AZ344" s="786"/>
      <c r="BA344" s="786"/>
      <c r="BB344" s="786"/>
      <c r="BC344" s="786"/>
      <c r="BD344" s="786"/>
      <c r="BE344" s="786"/>
      <c r="BF344" s="786"/>
      <c r="BG344" s="786"/>
      <c r="BH344" s="786"/>
      <c r="BI344" s="786"/>
      <c r="BJ344" s="785"/>
      <c r="BK344" s="785"/>
      <c r="BL344" s="74"/>
      <c r="BM344" s="786"/>
      <c r="BN344" s="785"/>
      <c r="BO344" s="785"/>
      <c r="BP344" s="74"/>
      <c r="BQ344" s="786"/>
      <c r="BR344" s="785"/>
      <c r="BS344" s="785"/>
      <c r="BT344" s="74"/>
      <c r="BU344" s="786"/>
      <c r="BV344" s="786"/>
      <c r="BW344" s="74"/>
      <c r="BX344" s="74"/>
      <c r="BY344" s="74"/>
      <c r="BZ344" s="74"/>
      <c r="CA344" s="74"/>
      <c r="CB344" s="74"/>
      <c r="CC344" s="74"/>
      <c r="CD344" s="74"/>
      <c r="CE344" s="74"/>
      <c r="CF344" s="74"/>
      <c r="CG344" s="74"/>
      <c r="CH344" s="74"/>
      <c r="CI344" s="74"/>
      <c r="CJ344" s="74"/>
      <c r="CK344" s="75"/>
      <c r="CL344" s="75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  <c r="CZ344" s="75"/>
      <c r="DA344" s="786"/>
      <c r="DB344" s="786"/>
      <c r="DC344" s="858"/>
      <c r="DD344" s="858"/>
      <c r="DE344" s="858"/>
      <c r="DF344" s="858"/>
      <c r="DG344" s="858"/>
      <c r="DI344" s="75"/>
      <c r="DJ344" s="788"/>
    </row>
    <row r="345" spans="1:114" s="875" customFormat="1" ht="12.75">
      <c r="A345" s="866" t="s">
        <v>330</v>
      </c>
      <c r="B345" s="867"/>
      <c r="C345" s="867"/>
      <c r="D345" s="868"/>
      <c r="E345" s="868"/>
      <c r="F345" s="868"/>
      <c r="G345" s="868"/>
      <c r="H345" s="868"/>
      <c r="I345" s="868"/>
      <c r="J345" s="868"/>
      <c r="K345" s="868"/>
      <c r="L345" s="868"/>
      <c r="M345" s="868"/>
      <c r="N345" s="868"/>
      <c r="O345" s="868"/>
      <c r="P345" s="868"/>
      <c r="Q345" s="868"/>
      <c r="R345" s="868"/>
      <c r="S345" s="868"/>
      <c r="T345" s="868"/>
      <c r="U345" s="868"/>
      <c r="V345" s="868"/>
      <c r="W345" s="868"/>
      <c r="X345" s="868"/>
      <c r="Y345" s="867"/>
      <c r="Z345" s="867"/>
      <c r="AA345" s="867"/>
      <c r="AB345" s="867"/>
      <c r="AC345" s="867"/>
      <c r="AD345" s="867"/>
      <c r="AE345" s="867"/>
      <c r="AF345" s="867"/>
      <c r="AG345" s="867"/>
      <c r="AH345" s="869"/>
      <c r="AI345" s="870"/>
      <c r="AJ345" s="870"/>
      <c r="AK345" s="870"/>
      <c r="AL345" s="870"/>
      <c r="AM345" s="870"/>
      <c r="AN345" s="870"/>
      <c r="AO345" s="870"/>
      <c r="AP345" s="870"/>
      <c r="AQ345" s="870"/>
      <c r="AR345" s="870"/>
      <c r="AS345" s="870"/>
      <c r="AT345" s="870"/>
      <c r="AU345" s="870"/>
      <c r="AV345" s="870"/>
      <c r="AW345" s="870"/>
      <c r="AX345" s="870"/>
      <c r="AY345" s="870"/>
      <c r="AZ345" s="870"/>
      <c r="BA345" s="870"/>
      <c r="BB345" s="870"/>
      <c r="BC345" s="870"/>
      <c r="BD345" s="871" t="s">
        <v>154</v>
      </c>
      <c r="BE345" s="871" t="s">
        <v>243</v>
      </c>
      <c r="BF345" s="870"/>
      <c r="BG345" s="870"/>
      <c r="BH345" s="870"/>
      <c r="BI345" s="870"/>
      <c r="BJ345" s="872"/>
      <c r="BK345" s="872"/>
      <c r="BL345" s="869"/>
      <c r="BM345" s="870"/>
      <c r="BN345" s="872"/>
      <c r="BO345" s="872"/>
      <c r="BP345" s="869"/>
      <c r="BQ345" s="870"/>
      <c r="BR345" s="872"/>
      <c r="BS345" s="872"/>
      <c r="BT345" s="869"/>
      <c r="BU345" s="870"/>
      <c r="BV345" s="870"/>
      <c r="BW345" s="869"/>
      <c r="BX345" s="869"/>
      <c r="BY345" s="869"/>
      <c r="BZ345" s="869"/>
      <c r="CA345" s="869"/>
      <c r="CB345" s="869"/>
      <c r="CC345" s="869"/>
      <c r="CD345" s="869"/>
      <c r="CE345" s="869"/>
      <c r="CF345" s="869"/>
      <c r="CG345" s="869"/>
      <c r="CH345" s="869"/>
      <c r="CI345" s="869"/>
      <c r="CJ345" s="869"/>
      <c r="CK345" s="873"/>
      <c r="CL345" s="873"/>
      <c r="CM345" s="873"/>
      <c r="CN345" s="873"/>
      <c r="CO345" s="873"/>
      <c r="CP345" s="873"/>
      <c r="CQ345" s="873"/>
      <c r="CR345" s="873"/>
      <c r="CS345" s="873"/>
      <c r="CT345" s="873"/>
      <c r="CU345" s="873"/>
      <c r="CV345" s="873"/>
      <c r="CW345" s="873"/>
      <c r="CX345" s="873"/>
      <c r="CY345" s="873"/>
      <c r="CZ345" s="873"/>
      <c r="DA345" s="871" t="s">
        <v>298</v>
      </c>
      <c r="DB345" s="871" t="s">
        <v>298</v>
      </c>
      <c r="DC345" s="868"/>
      <c r="DD345" s="868"/>
      <c r="DE345" s="868"/>
      <c r="DF345" s="874"/>
      <c r="DG345" s="874"/>
      <c r="DI345" s="876"/>
      <c r="DJ345" s="877"/>
    </row>
    <row r="346" spans="1:114" s="875" customFormat="1" ht="12.75">
      <c r="A346" s="866" t="s">
        <v>331</v>
      </c>
      <c r="B346" s="878"/>
      <c r="C346" s="879"/>
      <c r="D346" s="867"/>
      <c r="E346" s="867"/>
      <c r="F346" s="867"/>
      <c r="G346" s="867"/>
      <c r="H346" s="867"/>
      <c r="I346" s="867"/>
      <c r="J346" s="867"/>
      <c r="K346" s="867"/>
      <c r="L346" s="867"/>
      <c r="M346" s="867"/>
      <c r="N346" s="867"/>
      <c r="O346" s="867"/>
      <c r="P346" s="867"/>
      <c r="Q346" s="867"/>
      <c r="R346" s="867"/>
      <c r="S346" s="867"/>
      <c r="T346" s="867"/>
      <c r="U346" s="867"/>
      <c r="V346" s="867"/>
      <c r="W346" s="867"/>
      <c r="X346" s="869"/>
      <c r="Y346" s="870"/>
      <c r="Z346" s="867"/>
      <c r="AA346" s="867"/>
      <c r="AB346" s="867"/>
      <c r="AC346" s="867"/>
      <c r="AD346" s="867"/>
      <c r="AE346" s="867"/>
      <c r="AF346" s="867"/>
      <c r="AG346" s="867"/>
      <c r="AH346" s="867"/>
      <c r="AI346" s="867"/>
      <c r="AJ346" s="869"/>
      <c r="AK346" s="870"/>
      <c r="AL346" s="870"/>
      <c r="AM346" s="870"/>
      <c r="AN346" s="870"/>
      <c r="AO346" s="870"/>
      <c r="AP346" s="870"/>
      <c r="AQ346" s="870"/>
      <c r="AR346" s="870"/>
      <c r="AS346" s="870"/>
      <c r="AT346" s="870"/>
      <c r="AU346" s="870"/>
      <c r="AV346" s="870"/>
      <c r="AW346" s="870"/>
      <c r="AX346" s="870"/>
      <c r="AY346" s="870"/>
      <c r="AZ346" s="870"/>
      <c r="BA346" s="870"/>
      <c r="BB346" s="870"/>
      <c r="BC346" s="870"/>
      <c r="BD346" s="870"/>
      <c r="BE346" s="870"/>
      <c r="BF346" s="870"/>
      <c r="BG346" s="870"/>
      <c r="BH346" s="870"/>
      <c r="BI346" s="870"/>
      <c r="BJ346" s="870"/>
      <c r="BK346" s="870"/>
      <c r="BL346" s="872"/>
      <c r="BM346" s="872"/>
      <c r="BN346" s="869"/>
      <c r="BO346" s="870"/>
      <c r="BP346" s="872"/>
      <c r="BQ346" s="872"/>
      <c r="BR346" s="869"/>
      <c r="BS346" s="870"/>
      <c r="BT346" s="872"/>
      <c r="BU346" s="872"/>
      <c r="BV346" s="869"/>
      <c r="BW346" s="870"/>
      <c r="BX346" s="870"/>
      <c r="BY346" s="869"/>
      <c r="BZ346" s="869"/>
      <c r="CA346" s="869"/>
      <c r="CB346" s="869"/>
      <c r="CC346" s="869"/>
      <c r="CD346" s="869"/>
      <c r="CE346" s="869"/>
      <c r="CF346" s="869"/>
      <c r="CG346" s="869"/>
      <c r="CH346" s="869"/>
      <c r="CI346" s="869"/>
      <c r="CJ346" s="869"/>
      <c r="CK346" s="869"/>
      <c r="CL346" s="869"/>
      <c r="CM346" s="873"/>
      <c r="CN346" s="873"/>
      <c r="CO346" s="873"/>
      <c r="CP346" s="873"/>
      <c r="CQ346" s="873"/>
      <c r="CR346" s="873"/>
      <c r="CS346" s="873"/>
      <c r="CT346" s="873"/>
      <c r="CU346" s="873"/>
      <c r="CV346" s="873"/>
      <c r="CW346" s="873"/>
      <c r="CX346" s="873"/>
      <c r="CY346" s="873"/>
      <c r="CZ346" s="873"/>
      <c r="DA346" s="870"/>
      <c r="DB346" s="870"/>
      <c r="DC346" s="867"/>
      <c r="DD346" s="867"/>
      <c r="DE346" s="868" t="s">
        <v>332</v>
      </c>
      <c r="DF346" s="874"/>
      <c r="DG346" s="874"/>
      <c r="DI346" s="876"/>
      <c r="DJ346" s="877"/>
    </row>
    <row r="347" spans="1:114">
      <c r="DI347" s="777"/>
    </row>
    <row r="348" spans="1:114">
      <c r="DI348" s="777"/>
    </row>
  </sheetData>
  <mergeCells count="31">
    <mergeCell ref="F10:DA10"/>
    <mergeCell ref="DC10:DF10"/>
    <mergeCell ref="G1:DB1"/>
    <mergeCell ref="G2:DB2"/>
    <mergeCell ref="G3:DB3"/>
    <mergeCell ref="G4:DB4"/>
    <mergeCell ref="G5:DB5"/>
    <mergeCell ref="F7:DA7"/>
    <mergeCell ref="DC7:DF7"/>
    <mergeCell ref="F8:DA8"/>
    <mergeCell ref="DC8:DF8"/>
    <mergeCell ref="F9:DA9"/>
    <mergeCell ref="DC9:DF9"/>
    <mergeCell ref="DC11:DF11"/>
    <mergeCell ref="A13:DF13"/>
    <mergeCell ref="A20:A21"/>
    <mergeCell ref="B20:B21"/>
    <mergeCell ref="C20:C21"/>
    <mergeCell ref="BL20:BO20"/>
    <mergeCell ref="BP20:BS20"/>
    <mergeCell ref="BT20:BW20"/>
    <mergeCell ref="BA21:BE21"/>
    <mergeCell ref="DF21:DF22"/>
    <mergeCell ref="A14:DF15"/>
    <mergeCell ref="DG21:DG22"/>
    <mergeCell ref="A22:B22"/>
    <mergeCell ref="BX20:BX21"/>
    <mergeCell ref="BY20:CB20"/>
    <mergeCell ref="CC20:CC21"/>
    <mergeCell ref="DC20:DD20"/>
    <mergeCell ref="DF20:DG20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346"/>
  <sheetViews>
    <sheetView view="pageBreakPreview" topLeftCell="A7" zoomScaleSheetLayoutView="100" workbookViewId="0">
      <selection activeCell="A13" sqref="A13:DF13"/>
    </sheetView>
  </sheetViews>
  <sheetFormatPr defaultRowHeight="12" outlineLevelCol="1"/>
  <cols>
    <col min="1" max="1" width="5.83203125" style="42" customWidth="1"/>
    <col min="2" max="2" width="44.6640625" style="43" customWidth="1"/>
    <col min="3" max="3" width="10.5" style="44" customWidth="1"/>
    <col min="4" max="7" width="14" style="28" hidden="1" customWidth="1" outlineLevel="1"/>
    <col min="8" max="23" width="14.83203125" style="28" hidden="1" customWidth="1" outlineLevel="1"/>
    <col min="24" max="24" width="14.83203125" style="29" hidden="1" customWidth="1" outlineLevel="1"/>
    <col min="25" max="25" width="14.83203125" style="30" hidden="1" customWidth="1" outlineLevel="1"/>
    <col min="26" max="35" width="14.83203125" style="28" hidden="1" customWidth="1" outlineLevel="1"/>
    <col min="36" max="36" width="14.83203125" style="29" hidden="1" customWidth="1" outlineLevel="1"/>
    <col min="37" max="49" width="14.83203125" style="30" hidden="1" customWidth="1" outlineLevel="1"/>
    <col min="50" max="50" width="0.5" style="30" hidden="1" customWidth="1" outlineLevel="1"/>
    <col min="51" max="51" width="15.33203125" style="30" hidden="1" customWidth="1" outlineLevel="1"/>
    <col min="52" max="52" width="14.83203125" style="30" hidden="1" customWidth="1" outlineLevel="1"/>
    <col min="53" max="53" width="13.83203125" style="30" hidden="1" customWidth="1" outlineLevel="1"/>
    <col min="54" max="54" width="14.83203125" style="30" hidden="1" customWidth="1" outlineLevel="1"/>
    <col min="55" max="55" width="14" style="30" hidden="1" customWidth="1" outlineLevel="1"/>
    <col min="56" max="56" width="14.83203125" style="30" hidden="1" customWidth="1" outlineLevel="1"/>
    <col min="57" max="57" width="15.1640625" style="30" hidden="1" customWidth="1" outlineLevel="1"/>
    <col min="58" max="63" width="14.83203125" style="30" hidden="1" customWidth="1" outlineLevel="1"/>
    <col min="64" max="65" width="14.83203125" style="704" hidden="1" customWidth="1" outlineLevel="1"/>
    <col min="66" max="66" width="14.83203125" style="29" hidden="1" customWidth="1" outlineLevel="1"/>
    <col min="67" max="67" width="14.83203125" style="30" hidden="1" customWidth="1" outlineLevel="1"/>
    <col min="68" max="69" width="14.83203125" style="704" hidden="1" customWidth="1" outlineLevel="1"/>
    <col min="70" max="70" width="14.83203125" style="29" hidden="1" customWidth="1" outlineLevel="1"/>
    <col min="71" max="71" width="14.83203125" style="30" hidden="1" customWidth="1" outlineLevel="1"/>
    <col min="72" max="73" width="14.83203125" style="704" hidden="1" customWidth="1" outlineLevel="1"/>
    <col min="74" max="74" width="14.83203125" style="29" hidden="1" customWidth="1" outlineLevel="1"/>
    <col min="75" max="76" width="14.83203125" style="30" hidden="1" customWidth="1" outlineLevel="1"/>
    <col min="77" max="77" width="11" style="29" hidden="1" customWidth="1" outlineLevel="1"/>
    <col min="78" max="78" width="11" style="29" hidden="1" customWidth="1"/>
    <col min="79" max="81" width="14.83203125" style="29" hidden="1" customWidth="1"/>
    <col min="82" max="82" width="12.83203125" style="29" hidden="1" customWidth="1"/>
    <col min="83" max="83" width="10.83203125" style="29" hidden="1" customWidth="1"/>
    <col min="84" max="84" width="9.83203125" style="29" hidden="1" customWidth="1"/>
    <col min="85" max="90" width="10.6640625" style="29" hidden="1" customWidth="1"/>
    <col min="91" max="104" width="10.6640625" style="705" hidden="1" customWidth="1"/>
    <col min="105" max="106" width="15.33203125" style="30" hidden="1" customWidth="1" outlineLevel="1"/>
    <col min="107" max="107" width="14" style="28" customWidth="1" outlineLevel="1"/>
    <col min="108" max="110" width="15.33203125" style="28" customWidth="1" outlineLevel="1"/>
    <col min="111" max="111" width="17.6640625" style="28" customWidth="1" outlineLevel="1"/>
    <col min="114" max="114" width="9.33203125" style="773"/>
  </cols>
  <sheetData>
    <row r="1" spans="1:210" ht="15" hidden="1">
      <c r="G1" s="913" t="s">
        <v>295</v>
      </c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  <c r="Z1" s="913"/>
      <c r="AA1" s="913"/>
      <c r="AB1" s="913"/>
      <c r="AC1" s="913"/>
      <c r="AD1" s="913"/>
      <c r="AE1" s="913"/>
      <c r="AF1" s="913"/>
      <c r="AG1" s="913"/>
      <c r="AH1" s="913"/>
      <c r="AI1" s="913"/>
      <c r="AJ1" s="913"/>
      <c r="AK1" s="913"/>
      <c r="AL1" s="913"/>
      <c r="AM1" s="913"/>
      <c r="AN1" s="913"/>
      <c r="AO1" s="913"/>
      <c r="AP1" s="913"/>
      <c r="AQ1" s="913"/>
      <c r="AR1" s="913"/>
      <c r="AS1" s="913"/>
      <c r="AT1" s="913"/>
      <c r="AU1" s="913"/>
      <c r="AV1" s="913"/>
      <c r="AW1" s="913"/>
      <c r="AX1" s="913"/>
      <c r="AY1" s="913"/>
      <c r="AZ1" s="913"/>
      <c r="BA1" s="913"/>
      <c r="BB1" s="913"/>
      <c r="BC1" s="913"/>
      <c r="BD1" s="913"/>
      <c r="BE1" s="913"/>
      <c r="BF1" s="913"/>
      <c r="BG1" s="913"/>
      <c r="BH1" s="913"/>
      <c r="BI1" s="913"/>
      <c r="BJ1" s="913"/>
      <c r="BK1" s="913"/>
      <c r="BL1" s="913"/>
      <c r="BM1" s="913"/>
      <c r="BN1" s="913"/>
      <c r="BO1" s="913"/>
      <c r="BP1" s="913"/>
      <c r="BQ1" s="913"/>
      <c r="BR1" s="913"/>
      <c r="BS1" s="913"/>
      <c r="BT1" s="913"/>
      <c r="BU1" s="913"/>
      <c r="BV1" s="913"/>
      <c r="BW1" s="913"/>
      <c r="BX1" s="913"/>
      <c r="BY1" s="913"/>
      <c r="BZ1" s="913"/>
      <c r="CA1" s="913"/>
      <c r="CB1" s="913"/>
      <c r="CC1" s="913"/>
      <c r="CD1" s="913"/>
      <c r="CE1" s="913"/>
      <c r="CF1" s="913"/>
      <c r="CG1" s="913"/>
      <c r="CH1" s="913"/>
      <c r="CI1" s="913"/>
      <c r="CJ1" s="913"/>
      <c r="CK1" s="913"/>
      <c r="CL1" s="913"/>
      <c r="CM1" s="913"/>
      <c r="CN1" s="913"/>
      <c r="CO1" s="913"/>
      <c r="CP1" s="913"/>
      <c r="CQ1" s="913"/>
      <c r="CR1" s="913"/>
      <c r="CS1" s="913"/>
      <c r="CT1" s="913"/>
      <c r="CU1" s="913"/>
      <c r="CV1" s="913"/>
      <c r="CW1" s="913"/>
      <c r="CX1" s="913"/>
      <c r="CY1" s="913"/>
      <c r="CZ1" s="913"/>
      <c r="DA1" s="913"/>
      <c r="DB1" s="913"/>
      <c r="DC1"/>
      <c r="DD1"/>
      <c r="DE1"/>
      <c r="DF1"/>
      <c r="DG1"/>
    </row>
    <row r="2" spans="1:210" ht="15" hidden="1">
      <c r="G2" s="913" t="s">
        <v>303</v>
      </c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  <c r="AH2" s="913"/>
      <c r="AI2" s="913"/>
      <c r="AJ2" s="913"/>
      <c r="AK2" s="913"/>
      <c r="AL2" s="913"/>
      <c r="AM2" s="913"/>
      <c r="AN2" s="913"/>
      <c r="AO2" s="913"/>
      <c r="AP2" s="913"/>
      <c r="AQ2" s="913"/>
      <c r="AR2" s="913"/>
      <c r="AS2" s="913"/>
      <c r="AT2" s="913"/>
      <c r="AU2" s="913"/>
      <c r="AV2" s="913"/>
      <c r="AW2" s="913"/>
      <c r="AX2" s="913"/>
      <c r="AY2" s="913"/>
      <c r="AZ2" s="913"/>
      <c r="BA2" s="913"/>
      <c r="BB2" s="913"/>
      <c r="BC2" s="913"/>
      <c r="BD2" s="913"/>
      <c r="BE2" s="913"/>
      <c r="BF2" s="913"/>
      <c r="BG2" s="913"/>
      <c r="BH2" s="913"/>
      <c r="BI2" s="913"/>
      <c r="BJ2" s="913"/>
      <c r="BK2" s="913"/>
      <c r="BL2" s="913"/>
      <c r="BM2" s="913"/>
      <c r="BN2" s="913"/>
      <c r="BO2" s="913"/>
      <c r="BP2" s="913"/>
      <c r="BQ2" s="913"/>
      <c r="BR2" s="913"/>
      <c r="BS2" s="913"/>
      <c r="BT2" s="913"/>
      <c r="BU2" s="913"/>
      <c r="BV2" s="913"/>
      <c r="BW2" s="913"/>
      <c r="BX2" s="913"/>
      <c r="BY2" s="913"/>
      <c r="BZ2" s="913"/>
      <c r="CA2" s="913"/>
      <c r="CB2" s="913"/>
      <c r="CC2" s="913"/>
      <c r="CD2" s="913"/>
      <c r="CE2" s="913"/>
      <c r="CF2" s="913"/>
      <c r="CG2" s="913"/>
      <c r="CH2" s="913"/>
      <c r="CI2" s="913"/>
      <c r="CJ2" s="913"/>
      <c r="CK2" s="913"/>
      <c r="CL2" s="913"/>
      <c r="CM2" s="913"/>
      <c r="CN2" s="913"/>
      <c r="CO2" s="913"/>
      <c r="CP2" s="913"/>
      <c r="CQ2" s="913"/>
      <c r="CR2" s="913"/>
      <c r="CS2" s="913"/>
      <c r="CT2" s="913"/>
      <c r="CU2" s="913"/>
      <c r="CV2" s="913"/>
      <c r="CW2" s="913"/>
      <c r="CX2" s="913"/>
      <c r="CY2" s="913"/>
      <c r="CZ2" s="913"/>
      <c r="DA2" s="913"/>
      <c r="DB2" s="913"/>
      <c r="DC2"/>
      <c r="DD2"/>
      <c r="DE2"/>
      <c r="DF2"/>
      <c r="DG2"/>
    </row>
    <row r="3" spans="1:210" ht="15" hidden="1">
      <c r="G3" s="913" t="s">
        <v>296</v>
      </c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  <c r="X3" s="913"/>
      <c r="Y3" s="913"/>
      <c r="Z3" s="913"/>
      <c r="AA3" s="913"/>
      <c r="AB3" s="913"/>
      <c r="AC3" s="913"/>
      <c r="AD3" s="913"/>
      <c r="AE3" s="913"/>
      <c r="AF3" s="913"/>
      <c r="AG3" s="913"/>
      <c r="AH3" s="913"/>
      <c r="AI3" s="913"/>
      <c r="AJ3" s="913"/>
      <c r="AK3" s="913"/>
      <c r="AL3" s="913"/>
      <c r="AM3" s="913"/>
      <c r="AN3" s="913"/>
      <c r="AO3" s="913"/>
      <c r="AP3" s="913"/>
      <c r="AQ3" s="913"/>
      <c r="AR3" s="913"/>
      <c r="AS3" s="913"/>
      <c r="AT3" s="913"/>
      <c r="AU3" s="913"/>
      <c r="AV3" s="913"/>
      <c r="AW3" s="913"/>
      <c r="AX3" s="913"/>
      <c r="AY3" s="913"/>
      <c r="AZ3" s="913"/>
      <c r="BA3" s="913"/>
      <c r="BB3" s="913"/>
      <c r="BC3" s="913"/>
      <c r="BD3" s="913"/>
      <c r="BE3" s="913"/>
      <c r="BF3" s="913"/>
      <c r="BG3" s="913"/>
      <c r="BH3" s="913"/>
      <c r="BI3" s="913"/>
      <c r="BJ3" s="913"/>
      <c r="BK3" s="913"/>
      <c r="BL3" s="913"/>
      <c r="BM3" s="913"/>
      <c r="BN3" s="913"/>
      <c r="BO3" s="913"/>
      <c r="BP3" s="913"/>
      <c r="BQ3" s="913"/>
      <c r="BR3" s="913"/>
      <c r="BS3" s="913"/>
      <c r="BT3" s="913"/>
      <c r="BU3" s="913"/>
      <c r="BV3" s="913"/>
      <c r="BW3" s="913"/>
      <c r="BX3" s="913"/>
      <c r="BY3" s="913"/>
      <c r="BZ3" s="913"/>
      <c r="CA3" s="913"/>
      <c r="CB3" s="913"/>
      <c r="CC3" s="913"/>
      <c r="CD3" s="913"/>
      <c r="CE3" s="913"/>
      <c r="CF3" s="913"/>
      <c r="CG3" s="913"/>
      <c r="CH3" s="913"/>
      <c r="CI3" s="913"/>
      <c r="CJ3" s="913"/>
      <c r="CK3" s="913"/>
      <c r="CL3" s="913"/>
      <c r="CM3" s="913"/>
      <c r="CN3" s="913"/>
      <c r="CO3" s="913"/>
      <c r="CP3" s="913"/>
      <c r="CQ3" s="913"/>
      <c r="CR3" s="913"/>
      <c r="CS3" s="913"/>
      <c r="CT3" s="913"/>
      <c r="CU3" s="913"/>
      <c r="CV3" s="913"/>
      <c r="CW3" s="913"/>
      <c r="CX3" s="913"/>
      <c r="CY3" s="913"/>
      <c r="CZ3" s="913"/>
      <c r="DA3" s="913"/>
      <c r="DB3" s="913"/>
      <c r="DC3"/>
      <c r="DD3"/>
      <c r="DE3"/>
      <c r="DF3"/>
      <c r="DG3"/>
    </row>
    <row r="4" spans="1:210" ht="15" hidden="1">
      <c r="G4" s="913" t="s">
        <v>297</v>
      </c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913"/>
      <c r="U4" s="913"/>
      <c r="V4" s="913"/>
      <c r="W4" s="913"/>
      <c r="X4" s="913"/>
      <c r="Y4" s="913"/>
      <c r="Z4" s="913"/>
      <c r="AA4" s="913"/>
      <c r="AB4" s="913"/>
      <c r="AC4" s="913"/>
      <c r="AD4" s="913"/>
      <c r="AE4" s="913"/>
      <c r="AF4" s="913"/>
      <c r="AG4" s="913"/>
      <c r="AH4" s="913"/>
      <c r="AI4" s="913"/>
      <c r="AJ4" s="913"/>
      <c r="AK4" s="913"/>
      <c r="AL4" s="913"/>
      <c r="AM4" s="913"/>
      <c r="AN4" s="913"/>
      <c r="AO4" s="913"/>
      <c r="AP4" s="913"/>
      <c r="AQ4" s="913"/>
      <c r="AR4" s="913"/>
      <c r="AS4" s="913"/>
      <c r="AT4" s="913"/>
      <c r="AU4" s="913"/>
      <c r="AV4" s="913"/>
      <c r="AW4" s="913"/>
      <c r="AX4" s="913"/>
      <c r="AY4" s="913"/>
      <c r="AZ4" s="913"/>
      <c r="BA4" s="913"/>
      <c r="BB4" s="913"/>
      <c r="BC4" s="913"/>
      <c r="BD4" s="913"/>
      <c r="BE4" s="913"/>
      <c r="BF4" s="913"/>
      <c r="BG4" s="913"/>
      <c r="BH4" s="913"/>
      <c r="BI4" s="913"/>
      <c r="BJ4" s="913"/>
      <c r="BK4" s="913"/>
      <c r="BL4" s="913"/>
      <c r="BM4" s="913"/>
      <c r="BN4" s="913"/>
      <c r="BO4" s="913"/>
      <c r="BP4" s="913"/>
      <c r="BQ4" s="913"/>
      <c r="BR4" s="913"/>
      <c r="BS4" s="913"/>
      <c r="BT4" s="913"/>
      <c r="BU4" s="913"/>
      <c r="BV4" s="913"/>
      <c r="BW4" s="913"/>
      <c r="BX4" s="913"/>
      <c r="BY4" s="913"/>
      <c r="BZ4" s="913"/>
      <c r="CA4" s="913"/>
      <c r="CB4" s="913"/>
      <c r="CC4" s="913"/>
      <c r="CD4" s="913"/>
      <c r="CE4" s="913"/>
      <c r="CF4" s="913"/>
      <c r="CG4" s="913"/>
      <c r="CH4" s="913"/>
      <c r="CI4" s="913"/>
      <c r="CJ4" s="913"/>
      <c r="CK4" s="913"/>
      <c r="CL4" s="913"/>
      <c r="CM4" s="913"/>
      <c r="CN4" s="913"/>
      <c r="CO4" s="913"/>
      <c r="CP4" s="913"/>
      <c r="CQ4" s="913"/>
      <c r="CR4" s="913"/>
      <c r="CS4" s="913"/>
      <c r="CT4" s="913"/>
      <c r="CU4" s="913"/>
      <c r="CV4" s="913"/>
      <c r="CW4" s="913"/>
      <c r="CX4" s="913"/>
      <c r="CY4" s="913"/>
      <c r="CZ4" s="913"/>
      <c r="DA4" s="913"/>
      <c r="DB4" s="913"/>
      <c r="DC4"/>
      <c r="DD4"/>
      <c r="DE4"/>
      <c r="DF4"/>
      <c r="DG4"/>
    </row>
    <row r="5" spans="1:210" ht="15" hidden="1">
      <c r="G5" s="913" t="s">
        <v>304</v>
      </c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  <c r="AN5" s="913"/>
      <c r="AO5" s="913"/>
      <c r="AP5" s="913"/>
      <c r="AQ5" s="913"/>
      <c r="AR5" s="913"/>
      <c r="AS5" s="913"/>
      <c r="AT5" s="913"/>
      <c r="AU5" s="913"/>
      <c r="AV5" s="913"/>
      <c r="AW5" s="913"/>
      <c r="AX5" s="913"/>
      <c r="AY5" s="913"/>
      <c r="AZ5" s="913"/>
      <c r="BA5" s="913"/>
      <c r="BB5" s="913"/>
      <c r="BC5" s="913"/>
      <c r="BD5" s="913"/>
      <c r="BE5" s="913"/>
      <c r="BF5" s="913"/>
      <c r="BG5" s="913"/>
      <c r="BH5" s="913"/>
      <c r="BI5" s="913"/>
      <c r="BJ5" s="913"/>
      <c r="BK5" s="913"/>
      <c r="BL5" s="913"/>
      <c r="BM5" s="913"/>
      <c r="BN5" s="913"/>
      <c r="BO5" s="913"/>
      <c r="BP5" s="913"/>
      <c r="BQ5" s="913"/>
      <c r="BR5" s="913"/>
      <c r="BS5" s="913"/>
      <c r="BT5" s="913"/>
      <c r="BU5" s="913"/>
      <c r="BV5" s="913"/>
      <c r="BW5" s="913"/>
      <c r="BX5" s="913"/>
      <c r="BY5" s="913"/>
      <c r="BZ5" s="913"/>
      <c r="CA5" s="913"/>
      <c r="CB5" s="913"/>
      <c r="CC5" s="913"/>
      <c r="CD5" s="913"/>
      <c r="CE5" s="913"/>
      <c r="CF5" s="913"/>
      <c r="CG5" s="913"/>
      <c r="CH5" s="913"/>
      <c r="CI5" s="913"/>
      <c r="CJ5" s="913"/>
      <c r="CK5" s="913"/>
      <c r="CL5" s="913"/>
      <c r="CM5" s="913"/>
      <c r="CN5" s="913"/>
      <c r="CO5" s="913"/>
      <c r="CP5" s="913"/>
      <c r="CQ5" s="913"/>
      <c r="CR5" s="913"/>
      <c r="CS5" s="913"/>
      <c r="CT5" s="913"/>
      <c r="CU5" s="913"/>
      <c r="CV5" s="913"/>
      <c r="CW5" s="913"/>
      <c r="CX5" s="913"/>
      <c r="CY5" s="913"/>
      <c r="CZ5" s="913"/>
      <c r="DA5" s="913"/>
      <c r="DB5" s="913"/>
      <c r="DC5"/>
      <c r="DD5"/>
      <c r="DE5"/>
      <c r="DF5"/>
      <c r="DG5"/>
    </row>
    <row r="6" spans="1:210" hidden="1"/>
    <row r="7" spans="1:210" s="783" customFormat="1">
      <c r="A7" s="780"/>
      <c r="B7" s="43"/>
      <c r="C7" s="781"/>
      <c r="D7" s="782"/>
      <c r="E7" s="782"/>
      <c r="F7" s="912" t="s">
        <v>295</v>
      </c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2"/>
      <c r="U7" s="912"/>
      <c r="V7" s="912"/>
      <c r="W7" s="912"/>
      <c r="X7" s="912"/>
      <c r="Y7" s="912"/>
      <c r="Z7" s="912"/>
      <c r="AA7" s="912"/>
      <c r="AB7" s="912"/>
      <c r="AC7" s="912"/>
      <c r="AD7" s="912"/>
      <c r="AE7" s="912"/>
      <c r="AF7" s="912"/>
      <c r="AG7" s="912"/>
      <c r="AH7" s="912"/>
      <c r="AI7" s="912"/>
      <c r="AJ7" s="912"/>
      <c r="AK7" s="912"/>
      <c r="AL7" s="912"/>
      <c r="AM7" s="912"/>
      <c r="AN7" s="912"/>
      <c r="AO7" s="912"/>
      <c r="AP7" s="912"/>
      <c r="AQ7" s="912"/>
      <c r="AR7" s="912"/>
      <c r="AS7" s="912"/>
      <c r="AT7" s="912"/>
      <c r="AU7" s="912"/>
      <c r="AV7" s="912"/>
      <c r="AW7" s="912"/>
      <c r="AX7" s="912"/>
      <c r="AY7" s="912"/>
      <c r="AZ7" s="912"/>
      <c r="BA7" s="912"/>
      <c r="BB7" s="912"/>
      <c r="BC7" s="912"/>
      <c r="BD7" s="912"/>
      <c r="BE7" s="912"/>
      <c r="BF7" s="912"/>
      <c r="BG7" s="912"/>
      <c r="BH7" s="912"/>
      <c r="BI7" s="912"/>
      <c r="BJ7" s="912"/>
      <c r="BK7" s="912"/>
      <c r="BL7" s="912"/>
      <c r="BM7" s="912"/>
      <c r="BN7" s="912"/>
      <c r="BO7" s="912"/>
      <c r="BP7" s="912"/>
      <c r="BQ7" s="912"/>
      <c r="BR7" s="912"/>
      <c r="BS7" s="912"/>
      <c r="BT7" s="912"/>
      <c r="BU7" s="912"/>
      <c r="BV7" s="912"/>
      <c r="BW7" s="912"/>
      <c r="BX7" s="912"/>
      <c r="BY7" s="912"/>
      <c r="BZ7" s="912"/>
      <c r="CA7" s="912"/>
      <c r="CB7" s="912"/>
      <c r="CC7" s="912"/>
      <c r="CD7" s="912"/>
      <c r="CE7" s="912"/>
      <c r="CF7" s="912"/>
      <c r="CG7" s="912"/>
      <c r="CH7" s="912"/>
      <c r="CI7" s="912"/>
      <c r="CJ7" s="912"/>
      <c r="CK7" s="912"/>
      <c r="CL7" s="912"/>
      <c r="CM7" s="912"/>
      <c r="CN7" s="912"/>
      <c r="CO7" s="912"/>
      <c r="CP7" s="912"/>
      <c r="CQ7" s="912"/>
      <c r="CR7" s="912"/>
      <c r="CS7" s="912"/>
      <c r="CT7" s="912"/>
      <c r="CU7" s="912"/>
      <c r="CV7" s="912"/>
      <c r="CW7" s="912"/>
      <c r="CX7" s="912"/>
      <c r="CY7" s="912"/>
      <c r="CZ7" s="912"/>
      <c r="DA7" s="912"/>
      <c r="DC7" s="912" t="s">
        <v>295</v>
      </c>
      <c r="DD7" s="912"/>
      <c r="DE7" s="912"/>
      <c r="DF7" s="912"/>
      <c r="DG7" s="784"/>
      <c r="DH7" s="785"/>
      <c r="DI7" s="785"/>
      <c r="DJ7" s="785"/>
      <c r="DK7" s="785"/>
      <c r="DL7" s="785"/>
      <c r="DM7" s="785"/>
      <c r="DN7" s="785"/>
      <c r="DO7" s="785"/>
      <c r="DP7" s="785"/>
      <c r="DQ7" s="785"/>
      <c r="DR7" s="785"/>
      <c r="DS7" s="785"/>
      <c r="DT7" s="785"/>
      <c r="DU7" s="785"/>
      <c r="DV7" s="785"/>
      <c r="DW7" s="785"/>
      <c r="DX7" s="785"/>
      <c r="DY7" s="785"/>
      <c r="DZ7" s="785"/>
      <c r="EA7" s="785"/>
      <c r="EB7" s="785"/>
      <c r="EC7" s="785"/>
      <c r="ED7" s="785"/>
      <c r="EE7" s="785"/>
      <c r="EF7" s="785"/>
      <c r="EG7" s="785"/>
      <c r="EH7" s="785"/>
      <c r="EI7" s="785"/>
      <c r="EJ7" s="785"/>
      <c r="EK7" s="785"/>
      <c r="EL7" s="785"/>
      <c r="EM7" s="785"/>
      <c r="EN7" s="785"/>
      <c r="EO7" s="785"/>
      <c r="EP7" s="785"/>
      <c r="EQ7" s="785"/>
      <c r="ER7" s="785"/>
      <c r="ES7" s="785"/>
      <c r="ET7" s="785"/>
      <c r="EU7" s="785"/>
      <c r="EV7" s="785"/>
      <c r="EW7" s="785"/>
      <c r="EX7" s="785"/>
      <c r="EY7" s="785"/>
      <c r="EZ7" s="785"/>
      <c r="FA7" s="785"/>
      <c r="FB7" s="785"/>
      <c r="FC7" s="785"/>
      <c r="FD7" s="785"/>
      <c r="FE7" s="785"/>
      <c r="FF7" s="785"/>
      <c r="FG7" s="785"/>
      <c r="FH7" s="785"/>
      <c r="FI7" s="785"/>
      <c r="FJ7" s="785"/>
      <c r="FK7" s="785"/>
      <c r="FL7" s="785"/>
      <c r="FM7" s="785"/>
      <c r="FN7" s="785"/>
      <c r="FO7" s="785"/>
      <c r="FP7" s="785"/>
      <c r="FQ7" s="785"/>
      <c r="FR7" s="785"/>
      <c r="FS7" s="785"/>
      <c r="FT7" s="785"/>
      <c r="FU7" s="785"/>
      <c r="FV7" s="785"/>
      <c r="FW7" s="785"/>
      <c r="FX7" s="785"/>
      <c r="FY7" s="785"/>
      <c r="FZ7" s="785"/>
      <c r="GA7" s="785"/>
      <c r="GB7" s="785"/>
      <c r="GC7" s="785"/>
      <c r="GD7" s="785"/>
      <c r="GE7" s="785"/>
      <c r="GF7" s="785"/>
      <c r="GG7" s="785"/>
      <c r="GH7" s="785"/>
      <c r="GI7" s="785"/>
      <c r="GJ7" s="785"/>
      <c r="GK7" s="785"/>
      <c r="GL7" s="785"/>
      <c r="GM7" s="785"/>
      <c r="GN7" s="785"/>
      <c r="GO7" s="785"/>
      <c r="GP7" s="785"/>
      <c r="GQ7" s="785"/>
      <c r="GR7" s="785"/>
      <c r="GS7" s="785"/>
      <c r="GT7" s="785"/>
      <c r="GU7" s="785"/>
      <c r="GV7" s="785"/>
      <c r="GW7" s="785"/>
      <c r="GX7" s="785"/>
      <c r="GY7" s="785"/>
      <c r="GZ7" s="785"/>
      <c r="HA7" s="785"/>
      <c r="HB7" s="785"/>
    </row>
    <row r="8" spans="1:210" s="783" customFormat="1">
      <c r="A8" s="780"/>
      <c r="B8" s="43"/>
      <c r="C8" s="781"/>
      <c r="D8" s="782"/>
      <c r="E8" s="782"/>
      <c r="F8" s="912" t="s">
        <v>303</v>
      </c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2"/>
      <c r="U8" s="912"/>
      <c r="V8" s="912"/>
      <c r="W8" s="912"/>
      <c r="X8" s="912"/>
      <c r="Y8" s="912"/>
      <c r="Z8" s="912"/>
      <c r="AA8" s="912"/>
      <c r="AB8" s="912"/>
      <c r="AC8" s="912"/>
      <c r="AD8" s="912"/>
      <c r="AE8" s="912"/>
      <c r="AF8" s="912"/>
      <c r="AG8" s="912"/>
      <c r="AH8" s="912"/>
      <c r="AI8" s="912"/>
      <c r="AJ8" s="912"/>
      <c r="AK8" s="912"/>
      <c r="AL8" s="912"/>
      <c r="AM8" s="912"/>
      <c r="AN8" s="912"/>
      <c r="AO8" s="912"/>
      <c r="AP8" s="912"/>
      <c r="AQ8" s="912"/>
      <c r="AR8" s="912"/>
      <c r="AS8" s="912"/>
      <c r="AT8" s="912"/>
      <c r="AU8" s="912"/>
      <c r="AV8" s="912"/>
      <c r="AW8" s="912"/>
      <c r="AX8" s="912"/>
      <c r="AY8" s="912"/>
      <c r="AZ8" s="912"/>
      <c r="BA8" s="912"/>
      <c r="BB8" s="912"/>
      <c r="BC8" s="912"/>
      <c r="BD8" s="912"/>
      <c r="BE8" s="912"/>
      <c r="BF8" s="912"/>
      <c r="BG8" s="912"/>
      <c r="BH8" s="912"/>
      <c r="BI8" s="912"/>
      <c r="BJ8" s="912"/>
      <c r="BK8" s="912"/>
      <c r="BL8" s="912"/>
      <c r="BM8" s="912"/>
      <c r="BN8" s="912"/>
      <c r="BO8" s="912"/>
      <c r="BP8" s="912"/>
      <c r="BQ8" s="912"/>
      <c r="BR8" s="912"/>
      <c r="BS8" s="912"/>
      <c r="BT8" s="912"/>
      <c r="BU8" s="912"/>
      <c r="BV8" s="912"/>
      <c r="BW8" s="912"/>
      <c r="BX8" s="912"/>
      <c r="BY8" s="912"/>
      <c r="BZ8" s="912"/>
      <c r="CA8" s="912"/>
      <c r="CB8" s="912"/>
      <c r="CC8" s="912"/>
      <c r="CD8" s="912"/>
      <c r="CE8" s="912"/>
      <c r="CF8" s="912"/>
      <c r="CG8" s="912"/>
      <c r="CH8" s="912"/>
      <c r="CI8" s="912"/>
      <c r="CJ8" s="912"/>
      <c r="CK8" s="912"/>
      <c r="CL8" s="912"/>
      <c r="CM8" s="912"/>
      <c r="CN8" s="912"/>
      <c r="CO8" s="912"/>
      <c r="CP8" s="912"/>
      <c r="CQ8" s="912"/>
      <c r="CR8" s="912"/>
      <c r="CS8" s="912"/>
      <c r="CT8" s="912"/>
      <c r="CU8" s="912"/>
      <c r="CV8" s="912"/>
      <c r="CW8" s="912"/>
      <c r="CX8" s="912"/>
      <c r="CY8" s="912"/>
      <c r="CZ8" s="912"/>
      <c r="DA8" s="912"/>
      <c r="DC8" s="912" t="s">
        <v>303</v>
      </c>
      <c r="DD8" s="912"/>
      <c r="DE8" s="912"/>
      <c r="DF8" s="912"/>
      <c r="DG8" s="784"/>
      <c r="DH8" s="785"/>
      <c r="DI8" s="785"/>
      <c r="DJ8" s="785"/>
      <c r="DK8" s="785"/>
      <c r="DL8" s="785"/>
      <c r="DM8" s="785"/>
      <c r="DN8" s="785"/>
      <c r="DO8" s="785"/>
      <c r="DP8" s="785"/>
      <c r="DQ8" s="785"/>
      <c r="DR8" s="785"/>
      <c r="DS8" s="785"/>
      <c r="DT8" s="785"/>
      <c r="DU8" s="785"/>
      <c r="DV8" s="785"/>
      <c r="DW8" s="785"/>
      <c r="DX8" s="785"/>
      <c r="DY8" s="785"/>
      <c r="DZ8" s="785"/>
      <c r="EA8" s="785"/>
      <c r="EB8" s="785"/>
      <c r="EC8" s="785"/>
      <c r="ED8" s="785"/>
      <c r="EE8" s="785"/>
      <c r="EF8" s="785"/>
      <c r="EG8" s="785"/>
      <c r="EH8" s="785"/>
      <c r="EI8" s="785"/>
      <c r="EJ8" s="785"/>
      <c r="EK8" s="785"/>
      <c r="EL8" s="785"/>
      <c r="EM8" s="785"/>
      <c r="EN8" s="785"/>
      <c r="EO8" s="785"/>
      <c r="EP8" s="785"/>
      <c r="EQ8" s="785"/>
      <c r="ER8" s="785"/>
      <c r="ES8" s="785"/>
      <c r="ET8" s="785"/>
      <c r="EU8" s="785"/>
      <c r="EV8" s="785"/>
      <c r="EW8" s="785"/>
      <c r="EX8" s="785"/>
      <c r="EY8" s="785"/>
      <c r="EZ8" s="785"/>
      <c r="FA8" s="785"/>
      <c r="FB8" s="785"/>
      <c r="FC8" s="785"/>
      <c r="FD8" s="785"/>
      <c r="FE8" s="785"/>
      <c r="FF8" s="785"/>
      <c r="FG8" s="785"/>
      <c r="FH8" s="785"/>
      <c r="FI8" s="785"/>
      <c r="FJ8" s="785"/>
      <c r="FK8" s="785"/>
      <c r="FL8" s="785"/>
      <c r="FM8" s="785"/>
      <c r="FN8" s="785"/>
      <c r="FO8" s="785"/>
      <c r="FP8" s="785"/>
      <c r="FQ8" s="785"/>
      <c r="FR8" s="785"/>
      <c r="FS8" s="785"/>
      <c r="FT8" s="785"/>
      <c r="FU8" s="785"/>
      <c r="FV8" s="785"/>
      <c r="FW8" s="785"/>
      <c r="FX8" s="785"/>
      <c r="FY8" s="785"/>
      <c r="FZ8" s="785"/>
      <c r="GA8" s="785"/>
      <c r="GB8" s="785"/>
      <c r="GC8" s="785"/>
      <c r="GD8" s="785"/>
      <c r="GE8" s="785"/>
      <c r="GF8" s="785"/>
      <c r="GG8" s="785"/>
      <c r="GH8" s="785"/>
      <c r="GI8" s="785"/>
      <c r="GJ8" s="785"/>
      <c r="GK8" s="785"/>
      <c r="GL8" s="785"/>
      <c r="GM8" s="785"/>
      <c r="GN8" s="785"/>
      <c r="GO8" s="785"/>
      <c r="GP8" s="785"/>
      <c r="GQ8" s="785"/>
      <c r="GR8" s="785"/>
      <c r="GS8" s="785"/>
      <c r="GT8" s="785"/>
      <c r="GU8" s="785"/>
      <c r="GV8" s="785"/>
      <c r="GW8" s="785"/>
      <c r="GX8" s="785"/>
      <c r="GY8" s="785"/>
      <c r="GZ8" s="785"/>
      <c r="HA8" s="785"/>
      <c r="HB8" s="785"/>
    </row>
    <row r="9" spans="1:210" s="783" customFormat="1">
      <c r="A9" s="780"/>
      <c r="B9" s="43"/>
      <c r="C9" s="781"/>
      <c r="D9" s="782"/>
      <c r="E9" s="782"/>
      <c r="F9" s="912" t="s">
        <v>296</v>
      </c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2"/>
      <c r="U9" s="912"/>
      <c r="V9" s="912"/>
      <c r="W9" s="912"/>
      <c r="X9" s="912"/>
      <c r="Y9" s="912"/>
      <c r="Z9" s="912"/>
      <c r="AA9" s="912"/>
      <c r="AB9" s="912"/>
      <c r="AC9" s="912"/>
      <c r="AD9" s="912"/>
      <c r="AE9" s="912"/>
      <c r="AF9" s="912"/>
      <c r="AG9" s="912"/>
      <c r="AH9" s="912"/>
      <c r="AI9" s="912"/>
      <c r="AJ9" s="912"/>
      <c r="AK9" s="912"/>
      <c r="AL9" s="912"/>
      <c r="AM9" s="912"/>
      <c r="AN9" s="912"/>
      <c r="AO9" s="912"/>
      <c r="AP9" s="912"/>
      <c r="AQ9" s="912"/>
      <c r="AR9" s="912"/>
      <c r="AS9" s="912"/>
      <c r="AT9" s="912"/>
      <c r="AU9" s="912"/>
      <c r="AV9" s="912"/>
      <c r="AW9" s="912"/>
      <c r="AX9" s="912"/>
      <c r="AY9" s="912"/>
      <c r="AZ9" s="912"/>
      <c r="BA9" s="912"/>
      <c r="BB9" s="912"/>
      <c r="BC9" s="912"/>
      <c r="BD9" s="912"/>
      <c r="BE9" s="912"/>
      <c r="BF9" s="912"/>
      <c r="BG9" s="912"/>
      <c r="BH9" s="912"/>
      <c r="BI9" s="912"/>
      <c r="BJ9" s="912"/>
      <c r="BK9" s="912"/>
      <c r="BL9" s="912"/>
      <c r="BM9" s="912"/>
      <c r="BN9" s="912"/>
      <c r="BO9" s="912"/>
      <c r="BP9" s="912"/>
      <c r="BQ9" s="912"/>
      <c r="BR9" s="912"/>
      <c r="BS9" s="912"/>
      <c r="BT9" s="912"/>
      <c r="BU9" s="912"/>
      <c r="BV9" s="912"/>
      <c r="BW9" s="912"/>
      <c r="BX9" s="912"/>
      <c r="BY9" s="912"/>
      <c r="BZ9" s="912"/>
      <c r="CA9" s="912"/>
      <c r="CB9" s="912"/>
      <c r="CC9" s="912"/>
      <c r="CD9" s="912"/>
      <c r="CE9" s="912"/>
      <c r="CF9" s="912"/>
      <c r="CG9" s="912"/>
      <c r="CH9" s="912"/>
      <c r="CI9" s="912"/>
      <c r="CJ9" s="912"/>
      <c r="CK9" s="912"/>
      <c r="CL9" s="912"/>
      <c r="CM9" s="912"/>
      <c r="CN9" s="912"/>
      <c r="CO9" s="912"/>
      <c r="CP9" s="912"/>
      <c r="CQ9" s="912"/>
      <c r="CR9" s="912"/>
      <c r="CS9" s="912"/>
      <c r="CT9" s="912"/>
      <c r="CU9" s="912"/>
      <c r="CV9" s="912"/>
      <c r="CW9" s="912"/>
      <c r="CX9" s="912"/>
      <c r="CY9" s="912"/>
      <c r="CZ9" s="912"/>
      <c r="DA9" s="912"/>
      <c r="DC9" s="912" t="s">
        <v>296</v>
      </c>
      <c r="DD9" s="912"/>
      <c r="DE9" s="912"/>
      <c r="DF9" s="912"/>
      <c r="DG9" s="784"/>
      <c r="DH9" s="785"/>
      <c r="DI9" s="785"/>
      <c r="DJ9" s="785"/>
      <c r="DK9" s="785"/>
      <c r="DL9" s="785"/>
      <c r="DM9" s="785"/>
      <c r="DN9" s="785"/>
      <c r="DO9" s="785"/>
      <c r="DP9" s="785"/>
      <c r="DQ9" s="785"/>
      <c r="DR9" s="785"/>
      <c r="DS9" s="785"/>
      <c r="DT9" s="785"/>
      <c r="DU9" s="785"/>
      <c r="DV9" s="785"/>
      <c r="DW9" s="785"/>
      <c r="DX9" s="785"/>
      <c r="DY9" s="785"/>
      <c r="DZ9" s="785"/>
      <c r="EA9" s="785"/>
      <c r="EB9" s="785"/>
      <c r="EC9" s="785"/>
      <c r="ED9" s="785"/>
      <c r="EE9" s="785"/>
      <c r="EF9" s="785"/>
      <c r="EG9" s="785"/>
      <c r="EH9" s="785"/>
      <c r="EI9" s="785"/>
      <c r="EJ9" s="785"/>
      <c r="EK9" s="785"/>
      <c r="EL9" s="785"/>
      <c r="EM9" s="785"/>
      <c r="EN9" s="785"/>
      <c r="EO9" s="785"/>
      <c r="EP9" s="785"/>
      <c r="EQ9" s="785"/>
      <c r="ER9" s="785"/>
      <c r="ES9" s="785"/>
      <c r="ET9" s="785"/>
      <c r="EU9" s="785"/>
      <c r="EV9" s="785"/>
      <c r="EW9" s="785"/>
      <c r="EX9" s="785"/>
      <c r="EY9" s="785"/>
      <c r="EZ9" s="785"/>
      <c r="FA9" s="785"/>
      <c r="FB9" s="785"/>
      <c r="FC9" s="785"/>
      <c r="FD9" s="785"/>
      <c r="FE9" s="785"/>
      <c r="FF9" s="785"/>
      <c r="FG9" s="785"/>
      <c r="FH9" s="785"/>
      <c r="FI9" s="785"/>
      <c r="FJ9" s="785"/>
      <c r="FK9" s="785"/>
      <c r="FL9" s="785"/>
      <c r="FM9" s="785"/>
      <c r="FN9" s="785"/>
      <c r="FO9" s="785"/>
      <c r="FP9" s="785"/>
      <c r="FQ9" s="785"/>
      <c r="FR9" s="785"/>
      <c r="FS9" s="785"/>
      <c r="FT9" s="785"/>
      <c r="FU9" s="785"/>
      <c r="FV9" s="785"/>
      <c r="FW9" s="785"/>
      <c r="FX9" s="785"/>
      <c r="FY9" s="785"/>
      <c r="FZ9" s="785"/>
      <c r="GA9" s="785"/>
      <c r="GB9" s="785"/>
      <c r="GC9" s="785"/>
      <c r="GD9" s="785"/>
      <c r="GE9" s="785"/>
      <c r="GF9" s="785"/>
      <c r="GG9" s="785"/>
      <c r="GH9" s="785"/>
      <c r="GI9" s="785"/>
      <c r="GJ9" s="785"/>
      <c r="GK9" s="785"/>
      <c r="GL9" s="785"/>
      <c r="GM9" s="785"/>
      <c r="GN9" s="785"/>
      <c r="GO9" s="785"/>
      <c r="GP9" s="785"/>
      <c r="GQ9" s="785"/>
      <c r="GR9" s="785"/>
      <c r="GS9" s="785"/>
      <c r="GT9" s="785"/>
      <c r="GU9" s="785"/>
      <c r="GV9" s="785"/>
      <c r="GW9" s="785"/>
      <c r="GX9" s="785"/>
      <c r="GY9" s="785"/>
      <c r="GZ9" s="785"/>
      <c r="HA9" s="785"/>
      <c r="HB9" s="785"/>
    </row>
    <row r="10" spans="1:210" s="783" customFormat="1">
      <c r="A10" s="780"/>
      <c r="B10" s="43"/>
      <c r="C10" s="781"/>
      <c r="D10" s="782"/>
      <c r="E10" s="782"/>
      <c r="F10" s="912" t="s">
        <v>297</v>
      </c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2"/>
      <c r="X10" s="912"/>
      <c r="Y10" s="912"/>
      <c r="Z10" s="912"/>
      <c r="AA10" s="912"/>
      <c r="AB10" s="912"/>
      <c r="AC10" s="912"/>
      <c r="AD10" s="912"/>
      <c r="AE10" s="912"/>
      <c r="AF10" s="912"/>
      <c r="AG10" s="912"/>
      <c r="AH10" s="912"/>
      <c r="AI10" s="912"/>
      <c r="AJ10" s="912"/>
      <c r="AK10" s="912"/>
      <c r="AL10" s="912"/>
      <c r="AM10" s="912"/>
      <c r="AN10" s="912"/>
      <c r="AO10" s="912"/>
      <c r="AP10" s="912"/>
      <c r="AQ10" s="912"/>
      <c r="AR10" s="912"/>
      <c r="AS10" s="912"/>
      <c r="AT10" s="912"/>
      <c r="AU10" s="912"/>
      <c r="AV10" s="912"/>
      <c r="AW10" s="912"/>
      <c r="AX10" s="912"/>
      <c r="AY10" s="912"/>
      <c r="AZ10" s="912"/>
      <c r="BA10" s="912"/>
      <c r="BB10" s="912"/>
      <c r="BC10" s="912"/>
      <c r="BD10" s="912"/>
      <c r="BE10" s="912"/>
      <c r="BF10" s="912"/>
      <c r="BG10" s="912"/>
      <c r="BH10" s="912"/>
      <c r="BI10" s="912"/>
      <c r="BJ10" s="912"/>
      <c r="BK10" s="912"/>
      <c r="BL10" s="912"/>
      <c r="BM10" s="912"/>
      <c r="BN10" s="912"/>
      <c r="BO10" s="912"/>
      <c r="BP10" s="912"/>
      <c r="BQ10" s="912"/>
      <c r="BR10" s="912"/>
      <c r="BS10" s="912"/>
      <c r="BT10" s="912"/>
      <c r="BU10" s="912"/>
      <c r="BV10" s="912"/>
      <c r="BW10" s="912"/>
      <c r="BX10" s="912"/>
      <c r="BY10" s="912"/>
      <c r="BZ10" s="912"/>
      <c r="CA10" s="912"/>
      <c r="CB10" s="912"/>
      <c r="CC10" s="912"/>
      <c r="CD10" s="912"/>
      <c r="CE10" s="912"/>
      <c r="CF10" s="912"/>
      <c r="CG10" s="912"/>
      <c r="CH10" s="912"/>
      <c r="CI10" s="912"/>
      <c r="CJ10" s="912"/>
      <c r="CK10" s="912"/>
      <c r="CL10" s="912"/>
      <c r="CM10" s="912"/>
      <c r="CN10" s="912"/>
      <c r="CO10" s="912"/>
      <c r="CP10" s="912"/>
      <c r="CQ10" s="912"/>
      <c r="CR10" s="912"/>
      <c r="CS10" s="912"/>
      <c r="CT10" s="912"/>
      <c r="CU10" s="912"/>
      <c r="CV10" s="912"/>
      <c r="CW10" s="912"/>
      <c r="CX10" s="912"/>
      <c r="CY10" s="912"/>
      <c r="CZ10" s="912"/>
      <c r="DA10" s="912"/>
      <c r="DC10" s="912" t="s">
        <v>297</v>
      </c>
      <c r="DD10" s="912"/>
      <c r="DE10" s="912"/>
      <c r="DF10" s="912"/>
      <c r="DG10" s="784"/>
      <c r="DH10" s="785"/>
      <c r="DI10" s="785"/>
      <c r="DJ10" s="785"/>
      <c r="DK10" s="785"/>
      <c r="DL10" s="785"/>
      <c r="DM10" s="785"/>
      <c r="DN10" s="785"/>
      <c r="DO10" s="785"/>
      <c r="DP10" s="785"/>
      <c r="DQ10" s="785"/>
      <c r="DR10" s="785"/>
      <c r="DS10" s="785"/>
      <c r="DT10" s="785"/>
      <c r="DU10" s="785"/>
      <c r="DV10" s="785"/>
      <c r="DW10" s="785"/>
      <c r="DX10" s="785"/>
      <c r="DY10" s="785"/>
      <c r="DZ10" s="785"/>
      <c r="EA10" s="785"/>
      <c r="EB10" s="785"/>
      <c r="EC10" s="785"/>
      <c r="ED10" s="785"/>
      <c r="EE10" s="785"/>
      <c r="EF10" s="785"/>
      <c r="EG10" s="785"/>
      <c r="EH10" s="785"/>
      <c r="EI10" s="785"/>
      <c r="EJ10" s="785"/>
      <c r="EK10" s="785"/>
      <c r="EL10" s="785"/>
      <c r="EM10" s="785"/>
      <c r="EN10" s="785"/>
      <c r="EO10" s="785"/>
      <c r="EP10" s="785"/>
      <c r="EQ10" s="785"/>
      <c r="ER10" s="785"/>
      <c r="ES10" s="785"/>
      <c r="ET10" s="785"/>
      <c r="EU10" s="785"/>
      <c r="EV10" s="785"/>
      <c r="EW10" s="785"/>
      <c r="EX10" s="785"/>
      <c r="EY10" s="785"/>
      <c r="EZ10" s="785"/>
      <c r="FA10" s="785"/>
      <c r="FB10" s="785"/>
      <c r="FC10" s="785"/>
      <c r="FD10" s="785"/>
      <c r="FE10" s="785"/>
      <c r="FF10" s="785"/>
      <c r="FG10" s="785"/>
      <c r="FH10" s="785"/>
      <c r="FI10" s="785"/>
      <c r="FJ10" s="785"/>
      <c r="FK10" s="785"/>
      <c r="FL10" s="785"/>
      <c r="FM10" s="785"/>
      <c r="FN10" s="785"/>
      <c r="FO10" s="785"/>
      <c r="FP10" s="785"/>
      <c r="FQ10" s="785"/>
      <c r="FR10" s="785"/>
      <c r="FS10" s="785"/>
      <c r="FT10" s="785"/>
      <c r="FU10" s="785"/>
      <c r="FV10" s="785"/>
      <c r="FW10" s="785"/>
      <c r="FX10" s="785"/>
      <c r="FY10" s="785"/>
      <c r="FZ10" s="785"/>
      <c r="GA10" s="785"/>
      <c r="GB10" s="785"/>
      <c r="GC10" s="785"/>
      <c r="GD10" s="785"/>
      <c r="GE10" s="785"/>
      <c r="GF10" s="785"/>
      <c r="GG10" s="785"/>
      <c r="GH10" s="785"/>
      <c r="GI10" s="785"/>
      <c r="GJ10" s="785"/>
      <c r="GK10" s="785"/>
      <c r="GL10" s="785"/>
      <c r="GM10" s="785"/>
      <c r="GN10" s="785"/>
      <c r="GO10" s="785"/>
      <c r="GP10" s="785"/>
      <c r="GQ10" s="785"/>
      <c r="GR10" s="785"/>
      <c r="GS10" s="785"/>
      <c r="GT10" s="785"/>
      <c r="GU10" s="785"/>
      <c r="GV10" s="785"/>
      <c r="GW10" s="785"/>
      <c r="GX10" s="785"/>
      <c r="GY10" s="785"/>
      <c r="GZ10" s="785"/>
      <c r="HA10" s="785"/>
      <c r="HB10" s="785"/>
    </row>
    <row r="11" spans="1:210" s="783" customFormat="1">
      <c r="A11" s="780"/>
      <c r="B11" s="43"/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  <c r="AO11" s="785"/>
      <c r="AP11" s="785"/>
      <c r="AQ11" s="785"/>
      <c r="AR11" s="785"/>
      <c r="AS11" s="785"/>
      <c r="AT11" s="785"/>
      <c r="AU11" s="785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5"/>
      <c r="BS11" s="785"/>
      <c r="BT11" s="785"/>
      <c r="BU11" s="785"/>
      <c r="BV11" s="785"/>
      <c r="BW11" s="785"/>
      <c r="BX11" s="785"/>
      <c r="BY11" s="785"/>
      <c r="BZ11" s="785"/>
      <c r="CA11" s="785"/>
      <c r="CB11" s="785"/>
      <c r="CC11" s="785"/>
      <c r="CD11" s="785"/>
      <c r="CE11" s="785"/>
      <c r="CF11" s="785"/>
      <c r="CG11" s="785"/>
      <c r="CH11" s="785"/>
      <c r="CI11" s="785"/>
      <c r="CJ11" s="785"/>
      <c r="CK11" s="785"/>
      <c r="CL11" s="785"/>
      <c r="CM11" s="785"/>
      <c r="CN11" s="785"/>
      <c r="CO11" s="785"/>
      <c r="CP11" s="785"/>
      <c r="CQ11" s="785"/>
      <c r="CR11" s="785"/>
      <c r="CS11" s="785"/>
      <c r="CT11" s="785"/>
      <c r="CU11" s="785"/>
      <c r="CV11" s="785"/>
      <c r="CW11" s="785"/>
      <c r="CX11" s="785"/>
      <c r="CY11" s="785"/>
      <c r="CZ11" s="785"/>
      <c r="DA11" s="785"/>
      <c r="DB11" s="785"/>
      <c r="DC11" s="912" t="s">
        <v>333</v>
      </c>
      <c r="DD11" s="912"/>
      <c r="DE11" s="912"/>
      <c r="DF11" s="912"/>
      <c r="DG11" s="784"/>
      <c r="DH11" s="785"/>
      <c r="DI11" s="785"/>
      <c r="DJ11" s="785"/>
      <c r="DK11" s="785"/>
      <c r="DL11" s="785"/>
      <c r="DM11" s="785"/>
      <c r="DN11" s="785"/>
      <c r="DO11" s="785"/>
      <c r="DP11" s="785"/>
      <c r="DQ11" s="785"/>
      <c r="DR11" s="785"/>
      <c r="DS11" s="785"/>
      <c r="DT11" s="785"/>
      <c r="DU11" s="785"/>
      <c r="DV11" s="785"/>
      <c r="DW11" s="785"/>
      <c r="DX11" s="785"/>
      <c r="DY11" s="785"/>
      <c r="DZ11" s="785"/>
      <c r="EA11" s="785"/>
      <c r="EB11" s="785"/>
      <c r="EC11" s="785"/>
      <c r="ED11" s="785"/>
      <c r="EE11" s="785"/>
      <c r="EF11" s="785"/>
      <c r="EG11" s="785"/>
      <c r="EH11" s="785"/>
      <c r="EI11" s="785"/>
      <c r="EJ11" s="785"/>
      <c r="EK11" s="785"/>
      <c r="EL11" s="785"/>
      <c r="EM11" s="785"/>
      <c r="EN11" s="785"/>
      <c r="EO11" s="785"/>
      <c r="EP11" s="785"/>
      <c r="EQ11" s="785"/>
      <c r="ER11" s="785"/>
      <c r="ES11" s="785"/>
      <c r="ET11" s="785"/>
      <c r="EU11" s="785"/>
      <c r="EV11" s="785"/>
      <c r="EW11" s="785"/>
      <c r="EX11" s="785"/>
      <c r="EY11" s="785"/>
      <c r="EZ11" s="785"/>
      <c r="FA11" s="785"/>
      <c r="FB11" s="785"/>
      <c r="FC11" s="785"/>
      <c r="FD11" s="785"/>
      <c r="FE11" s="785"/>
      <c r="FF11" s="785"/>
      <c r="FG11" s="785"/>
      <c r="FH11" s="785"/>
      <c r="FI11" s="785"/>
      <c r="FJ11" s="785"/>
      <c r="FK11" s="785"/>
      <c r="FL11" s="785"/>
      <c r="FM11" s="785"/>
      <c r="FN11" s="785"/>
      <c r="FO11" s="785"/>
      <c r="FP11" s="785"/>
      <c r="FQ11" s="785"/>
      <c r="FR11" s="785"/>
      <c r="FS11" s="785"/>
      <c r="FT11" s="785"/>
      <c r="FU11" s="785"/>
      <c r="FV11" s="785"/>
      <c r="FW11" s="785"/>
      <c r="FX11" s="785"/>
      <c r="FY11" s="785"/>
      <c r="FZ11" s="785"/>
      <c r="GA11" s="785"/>
      <c r="GB11" s="785"/>
      <c r="GC11" s="785"/>
      <c r="GD11" s="785"/>
      <c r="GE11" s="785"/>
      <c r="GF11" s="785"/>
      <c r="GG11" s="785"/>
      <c r="GH11" s="785"/>
      <c r="GI11" s="785"/>
      <c r="GJ11" s="785"/>
      <c r="GK11" s="785"/>
      <c r="GL11" s="785"/>
      <c r="GM11" s="785"/>
      <c r="GN11" s="785"/>
      <c r="GO11" s="785"/>
      <c r="GP11" s="785"/>
      <c r="GQ11" s="785"/>
      <c r="GR11" s="785"/>
      <c r="GS11" s="785"/>
      <c r="GT11" s="785"/>
      <c r="GU11" s="785"/>
      <c r="GV11" s="785"/>
      <c r="GW11" s="785"/>
      <c r="GX11" s="785"/>
      <c r="GY11" s="785"/>
      <c r="GZ11" s="785"/>
      <c r="HA11" s="785"/>
      <c r="HB11" s="785"/>
    </row>
    <row r="12" spans="1:210" s="783" customFormat="1">
      <c r="A12" s="780"/>
      <c r="B12" s="43"/>
      <c r="C12" s="781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782"/>
      <c r="T12" s="782"/>
      <c r="U12" s="782"/>
      <c r="V12" s="782"/>
      <c r="W12" s="74"/>
      <c r="X12" s="786"/>
      <c r="Y12" s="782"/>
      <c r="Z12" s="782"/>
      <c r="AA12" s="782"/>
      <c r="AB12" s="782"/>
      <c r="AC12" s="782"/>
      <c r="AD12" s="782"/>
      <c r="AE12" s="782"/>
      <c r="AF12" s="782"/>
      <c r="AG12" s="782"/>
      <c r="AH12" s="782"/>
      <c r="AI12" s="74"/>
      <c r="AJ12" s="786"/>
      <c r="AK12" s="786"/>
      <c r="AL12" s="786"/>
      <c r="AM12" s="786"/>
      <c r="AN12" s="786"/>
      <c r="AO12" s="786"/>
      <c r="AP12" s="786"/>
      <c r="AQ12" s="786"/>
      <c r="AR12" s="786"/>
      <c r="AS12" s="786"/>
      <c r="AT12" s="786"/>
      <c r="AU12" s="786"/>
      <c r="AV12" s="786"/>
      <c r="AW12" s="786"/>
      <c r="AX12" s="786"/>
      <c r="AY12" s="786"/>
      <c r="AZ12" s="786"/>
      <c r="BA12" s="786"/>
      <c r="BB12" s="786"/>
      <c r="BC12" s="786"/>
      <c r="BD12" s="786"/>
      <c r="BE12" s="786"/>
      <c r="BF12" s="786"/>
      <c r="BG12" s="786"/>
      <c r="BH12" s="786"/>
      <c r="BI12" s="786"/>
      <c r="BJ12" s="786"/>
      <c r="BK12" s="785"/>
      <c r="BL12" s="785"/>
      <c r="BM12" s="74"/>
      <c r="BN12" s="786"/>
      <c r="BO12" s="785"/>
      <c r="BP12" s="785"/>
      <c r="BQ12" s="74"/>
      <c r="BR12" s="786"/>
      <c r="BS12" s="785"/>
      <c r="BT12" s="785"/>
      <c r="BU12" s="74"/>
      <c r="BV12" s="786"/>
      <c r="BW12" s="786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86"/>
      <c r="DA12" s="786"/>
    </row>
    <row r="13" spans="1:210" s="783" customFormat="1">
      <c r="A13" s="896" t="s">
        <v>282</v>
      </c>
      <c r="B13" s="896"/>
      <c r="C13" s="896"/>
      <c r="D13" s="896"/>
      <c r="E13" s="896"/>
      <c r="F13" s="896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6"/>
      <c r="AI13" s="896"/>
      <c r="AJ13" s="896"/>
      <c r="AK13" s="896"/>
      <c r="AL13" s="896"/>
      <c r="AM13" s="896"/>
      <c r="AN13" s="896"/>
      <c r="AO13" s="896"/>
      <c r="AP13" s="896"/>
      <c r="AQ13" s="896"/>
      <c r="AR13" s="896"/>
      <c r="AS13" s="896"/>
      <c r="AT13" s="896"/>
      <c r="AU13" s="896"/>
      <c r="AV13" s="896"/>
      <c r="AW13" s="896"/>
      <c r="AX13" s="896"/>
      <c r="AY13" s="896"/>
      <c r="AZ13" s="896"/>
      <c r="BA13" s="896"/>
      <c r="BB13" s="896"/>
      <c r="BC13" s="896"/>
      <c r="BD13" s="896"/>
      <c r="BE13" s="896"/>
      <c r="BF13" s="896"/>
      <c r="BG13" s="896"/>
      <c r="BH13" s="896"/>
      <c r="BI13" s="896"/>
      <c r="BJ13" s="896"/>
      <c r="BK13" s="896"/>
      <c r="BL13" s="896"/>
      <c r="BM13" s="896"/>
      <c r="BN13" s="896"/>
      <c r="BO13" s="896"/>
      <c r="BP13" s="896"/>
      <c r="BQ13" s="896"/>
      <c r="BR13" s="896"/>
      <c r="BS13" s="896"/>
      <c r="BT13" s="896"/>
      <c r="BU13" s="896"/>
      <c r="BV13" s="896"/>
      <c r="BW13" s="896"/>
      <c r="BX13" s="896"/>
      <c r="BY13" s="896"/>
      <c r="BZ13" s="896"/>
      <c r="CA13" s="896"/>
      <c r="CB13" s="896"/>
      <c r="CC13" s="896"/>
      <c r="CD13" s="896"/>
      <c r="CE13" s="896"/>
      <c r="CF13" s="896"/>
      <c r="CG13" s="896"/>
      <c r="CH13" s="896"/>
      <c r="CI13" s="896"/>
      <c r="CJ13" s="896"/>
      <c r="CK13" s="896"/>
      <c r="CL13" s="896"/>
      <c r="CM13" s="896"/>
      <c r="CN13" s="896"/>
      <c r="CO13" s="896"/>
      <c r="CP13" s="896"/>
      <c r="CQ13" s="896"/>
      <c r="CR13" s="896"/>
      <c r="CS13" s="896"/>
      <c r="CT13" s="896"/>
      <c r="CU13" s="896"/>
      <c r="CV13" s="896"/>
      <c r="CW13" s="896"/>
      <c r="CX13" s="896"/>
      <c r="CY13" s="896"/>
      <c r="CZ13" s="896"/>
      <c r="DA13" s="896"/>
      <c r="DB13" s="896"/>
      <c r="DC13" s="896"/>
      <c r="DD13" s="896"/>
      <c r="DE13" s="896"/>
      <c r="DF13" s="896"/>
      <c r="DG13" s="787"/>
      <c r="DJ13" s="788"/>
    </row>
    <row r="14" spans="1:210" s="783" customFormat="1">
      <c r="A14" s="896" t="s">
        <v>291</v>
      </c>
      <c r="B14" s="896"/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896"/>
      <c r="AD14" s="896"/>
      <c r="AE14" s="896"/>
      <c r="AF14" s="896"/>
      <c r="AG14" s="896"/>
      <c r="AH14" s="896"/>
      <c r="AI14" s="896"/>
      <c r="AJ14" s="896"/>
      <c r="AK14" s="896"/>
      <c r="AL14" s="896"/>
      <c r="AM14" s="896"/>
      <c r="AN14" s="896"/>
      <c r="AO14" s="896"/>
      <c r="AP14" s="896"/>
      <c r="AQ14" s="896"/>
      <c r="AR14" s="896"/>
      <c r="AS14" s="896"/>
      <c r="AT14" s="896"/>
      <c r="AU14" s="896"/>
      <c r="AV14" s="896"/>
      <c r="AW14" s="896"/>
      <c r="AX14" s="896"/>
      <c r="AY14" s="896"/>
      <c r="AZ14" s="896"/>
      <c r="BA14" s="896"/>
      <c r="BB14" s="896"/>
      <c r="BC14" s="896"/>
      <c r="BD14" s="896"/>
      <c r="BE14" s="896"/>
      <c r="BF14" s="896"/>
      <c r="BG14" s="896"/>
      <c r="BH14" s="896"/>
      <c r="BI14" s="896"/>
      <c r="BJ14" s="896"/>
      <c r="BK14" s="896"/>
      <c r="BL14" s="896"/>
      <c r="BM14" s="896"/>
      <c r="BN14" s="896"/>
      <c r="BO14" s="896"/>
      <c r="BP14" s="896"/>
      <c r="BQ14" s="896"/>
      <c r="BR14" s="896"/>
      <c r="BS14" s="896"/>
      <c r="BT14" s="896"/>
      <c r="BU14" s="896"/>
      <c r="BV14" s="896"/>
      <c r="BW14" s="896"/>
      <c r="BX14" s="896"/>
      <c r="BY14" s="896"/>
      <c r="BZ14" s="896"/>
      <c r="CA14" s="896"/>
      <c r="CB14" s="896"/>
      <c r="CC14" s="896"/>
      <c r="CD14" s="896"/>
      <c r="CE14" s="896"/>
      <c r="CF14" s="896"/>
      <c r="CG14" s="896"/>
      <c r="CH14" s="896"/>
      <c r="CI14" s="896"/>
      <c r="CJ14" s="896"/>
      <c r="CK14" s="896"/>
      <c r="CL14" s="896"/>
      <c r="CM14" s="896"/>
      <c r="CN14" s="896"/>
      <c r="CO14" s="896"/>
      <c r="CP14" s="896"/>
      <c r="CQ14" s="896"/>
      <c r="CR14" s="896"/>
      <c r="CS14" s="896"/>
      <c r="CT14" s="896"/>
      <c r="CU14" s="896"/>
      <c r="CV14" s="896"/>
      <c r="CW14" s="896"/>
      <c r="CX14" s="896"/>
      <c r="CY14" s="896"/>
      <c r="CZ14" s="896"/>
      <c r="DA14" s="896"/>
      <c r="DB14" s="896"/>
      <c r="DC14" s="896"/>
      <c r="DD14" s="896"/>
      <c r="DE14" s="896"/>
      <c r="DF14" s="896"/>
      <c r="DG14" s="787"/>
      <c r="DJ14" s="788"/>
    </row>
    <row r="15" spans="1:210" s="783" customFormat="1">
      <c r="A15" s="896" t="s">
        <v>283</v>
      </c>
      <c r="B15" s="896"/>
      <c r="C15" s="896"/>
      <c r="D15" s="896"/>
      <c r="E15" s="896"/>
      <c r="F15" s="896"/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6"/>
      <c r="T15" s="896"/>
      <c r="U15" s="896"/>
      <c r="V15" s="896"/>
      <c r="W15" s="896"/>
      <c r="X15" s="896"/>
      <c r="Y15" s="896"/>
      <c r="Z15" s="896"/>
      <c r="AA15" s="896"/>
      <c r="AB15" s="896"/>
      <c r="AC15" s="896"/>
      <c r="AD15" s="896"/>
      <c r="AE15" s="896"/>
      <c r="AF15" s="896"/>
      <c r="AG15" s="896"/>
      <c r="AH15" s="896"/>
      <c r="AI15" s="896"/>
      <c r="AJ15" s="896"/>
      <c r="AK15" s="896"/>
      <c r="AL15" s="896"/>
      <c r="AM15" s="896"/>
      <c r="AN15" s="896"/>
      <c r="AO15" s="896"/>
      <c r="AP15" s="896"/>
      <c r="AQ15" s="896"/>
      <c r="AR15" s="896"/>
      <c r="AS15" s="896"/>
      <c r="AT15" s="896"/>
      <c r="AU15" s="896"/>
      <c r="AV15" s="896"/>
      <c r="AW15" s="896"/>
      <c r="AX15" s="896"/>
      <c r="AY15" s="896"/>
      <c r="AZ15" s="896"/>
      <c r="BA15" s="896"/>
      <c r="BB15" s="896"/>
      <c r="BC15" s="896"/>
      <c r="BD15" s="896"/>
      <c r="BE15" s="896"/>
      <c r="BF15" s="896"/>
      <c r="BG15" s="896"/>
      <c r="BH15" s="896"/>
      <c r="BI15" s="896"/>
      <c r="BJ15" s="896"/>
      <c r="BK15" s="896"/>
      <c r="BL15" s="896"/>
      <c r="BM15" s="896"/>
      <c r="BN15" s="896"/>
      <c r="BO15" s="896"/>
      <c r="BP15" s="896"/>
      <c r="BQ15" s="896"/>
      <c r="BR15" s="896"/>
      <c r="BS15" s="896"/>
      <c r="BT15" s="896"/>
      <c r="BU15" s="896"/>
      <c r="BV15" s="896"/>
      <c r="BW15" s="896"/>
      <c r="BX15" s="896"/>
      <c r="BY15" s="896"/>
      <c r="BZ15" s="896"/>
      <c r="CA15" s="896"/>
      <c r="CB15" s="896"/>
      <c r="CC15" s="896"/>
      <c r="CD15" s="896"/>
      <c r="CE15" s="896"/>
      <c r="CF15" s="896"/>
      <c r="CG15" s="896"/>
      <c r="CH15" s="896"/>
      <c r="CI15" s="896"/>
      <c r="CJ15" s="896"/>
      <c r="CK15" s="896"/>
      <c r="CL15" s="896"/>
      <c r="CM15" s="896"/>
      <c r="CN15" s="896"/>
      <c r="CO15" s="896"/>
      <c r="CP15" s="896"/>
      <c r="CQ15" s="896"/>
      <c r="CR15" s="896"/>
      <c r="CS15" s="896"/>
      <c r="CT15" s="896"/>
      <c r="CU15" s="896"/>
      <c r="CV15" s="896"/>
      <c r="CW15" s="896"/>
      <c r="CX15" s="896"/>
      <c r="CY15" s="896"/>
      <c r="CZ15" s="896"/>
      <c r="DA15" s="896"/>
      <c r="DB15" s="896"/>
      <c r="DC15" s="896"/>
      <c r="DD15" s="896"/>
      <c r="DE15" s="896"/>
      <c r="DF15" s="896"/>
      <c r="DG15" s="787"/>
      <c r="DJ15" s="788"/>
    </row>
    <row r="16" spans="1:210" s="783" customFormat="1" ht="8.25" customHeight="1" thickBot="1">
      <c r="A16" s="780"/>
      <c r="B16" s="43"/>
      <c r="C16" s="781"/>
      <c r="D16" s="789">
        <v>1</v>
      </c>
      <c r="E16" s="789">
        <v>1</v>
      </c>
      <c r="F16" s="789">
        <v>2</v>
      </c>
      <c r="G16" s="789">
        <v>3</v>
      </c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89"/>
      <c r="Y16" s="789"/>
      <c r="Z16" s="789"/>
      <c r="AA16" s="789"/>
      <c r="AB16" s="789"/>
      <c r="AC16" s="789"/>
      <c r="AD16" s="789"/>
      <c r="AE16" s="789"/>
      <c r="AF16" s="789"/>
      <c r="AG16" s="789"/>
      <c r="AH16" s="789"/>
      <c r="AI16" s="789"/>
      <c r="AJ16" s="789"/>
      <c r="AK16" s="789"/>
      <c r="AL16" s="789"/>
      <c r="AM16" s="789"/>
      <c r="AN16" s="789"/>
      <c r="AO16" s="789"/>
      <c r="AP16" s="789"/>
      <c r="AQ16" s="789"/>
      <c r="AR16" s="789"/>
      <c r="AS16" s="789"/>
      <c r="AT16" s="789"/>
      <c r="AU16" s="789"/>
      <c r="AV16" s="789"/>
      <c r="AW16" s="789"/>
      <c r="AX16" s="789"/>
      <c r="AY16" s="789"/>
      <c r="AZ16" s="789"/>
      <c r="BA16" s="789"/>
      <c r="BB16" s="789"/>
      <c r="BC16" s="789"/>
      <c r="BD16" s="789"/>
      <c r="BE16" s="789"/>
      <c r="BF16" s="789"/>
      <c r="BG16" s="789"/>
      <c r="BH16" s="789"/>
      <c r="BI16" s="789"/>
      <c r="BJ16" s="789"/>
      <c r="BK16" s="789"/>
      <c r="BL16" s="789"/>
      <c r="BM16" s="789"/>
      <c r="BN16" s="789"/>
      <c r="BO16" s="789"/>
      <c r="BP16" s="789"/>
      <c r="BQ16" s="789"/>
      <c r="BR16" s="789"/>
      <c r="BS16" s="789"/>
      <c r="BT16" s="789"/>
      <c r="BU16" s="789"/>
      <c r="BV16" s="789"/>
      <c r="BW16" s="789"/>
      <c r="BX16" s="789"/>
      <c r="BY16" s="789"/>
      <c r="BZ16" s="789"/>
      <c r="CA16" s="789"/>
      <c r="CB16" s="789"/>
      <c r="CC16" s="789"/>
      <c r="CD16" s="789"/>
      <c r="CE16" s="789"/>
      <c r="CF16" s="789"/>
      <c r="CG16" s="789"/>
      <c r="CH16" s="789"/>
      <c r="CI16" s="789"/>
      <c r="CJ16" s="789"/>
      <c r="CK16" s="789"/>
      <c r="CL16" s="789"/>
      <c r="CM16" s="790"/>
      <c r="CN16" s="790"/>
      <c r="CO16" s="790"/>
      <c r="CP16" s="790"/>
      <c r="CQ16" s="790"/>
      <c r="CR16" s="790"/>
      <c r="CS16" s="790"/>
      <c r="CT16" s="790"/>
      <c r="CU16" s="790"/>
      <c r="CV16" s="790"/>
      <c r="CW16" s="790"/>
      <c r="CX16" s="790"/>
      <c r="CY16" s="790"/>
      <c r="CZ16" s="790"/>
      <c r="DA16" s="789"/>
      <c r="DB16" s="789">
        <v>4</v>
      </c>
      <c r="DC16" s="789">
        <v>3</v>
      </c>
      <c r="DD16" s="789">
        <v>3</v>
      </c>
      <c r="DE16" s="789">
        <v>3</v>
      </c>
      <c r="DF16" s="789">
        <v>3</v>
      </c>
      <c r="DG16" s="789"/>
      <c r="DJ16" s="788"/>
    </row>
    <row r="17" spans="1:114" s="783" customFormat="1" ht="13.5" customHeight="1" thickBot="1">
      <c r="A17" s="890" t="s">
        <v>35</v>
      </c>
      <c r="B17" s="914" t="s">
        <v>0</v>
      </c>
      <c r="C17" s="899" t="s">
        <v>36</v>
      </c>
      <c r="D17" s="791" t="s">
        <v>322</v>
      </c>
      <c r="E17" s="791" t="s">
        <v>244</v>
      </c>
      <c r="F17" s="791" t="s">
        <v>302</v>
      </c>
      <c r="G17" s="791" t="s">
        <v>302</v>
      </c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92"/>
      <c r="AG17" s="792"/>
      <c r="AH17" s="792"/>
      <c r="AI17" s="792"/>
      <c r="AJ17" s="792"/>
      <c r="AK17" s="792"/>
      <c r="AL17" s="792"/>
      <c r="AM17" s="792"/>
      <c r="AN17" s="792"/>
      <c r="AO17" s="792"/>
      <c r="AP17" s="792"/>
      <c r="AQ17" s="792"/>
      <c r="AR17" s="792"/>
      <c r="AS17" s="792"/>
      <c r="AT17" s="792"/>
      <c r="AU17" s="792"/>
      <c r="AV17" s="792"/>
      <c r="AW17" s="792"/>
      <c r="AX17" s="792"/>
      <c r="AY17" s="793" t="s">
        <v>244</v>
      </c>
      <c r="AZ17" s="792"/>
      <c r="BA17" s="794"/>
      <c r="BB17" s="792"/>
      <c r="BC17" s="792"/>
      <c r="BD17" s="792"/>
      <c r="BE17" s="795"/>
      <c r="BF17" s="792"/>
      <c r="BG17" s="792"/>
      <c r="BH17" s="792"/>
      <c r="BI17" s="795"/>
      <c r="BJ17" s="796"/>
      <c r="BK17" s="797"/>
      <c r="BL17" s="901" t="s">
        <v>98</v>
      </c>
      <c r="BM17" s="901"/>
      <c r="BN17" s="901"/>
      <c r="BO17" s="902"/>
      <c r="BP17" s="903" t="s">
        <v>49</v>
      </c>
      <c r="BQ17" s="904"/>
      <c r="BR17" s="904"/>
      <c r="BS17" s="905"/>
      <c r="BT17" s="903" t="s">
        <v>50</v>
      </c>
      <c r="BU17" s="904"/>
      <c r="BV17" s="904"/>
      <c r="BW17" s="905"/>
      <c r="BX17" s="885" t="s">
        <v>37</v>
      </c>
      <c r="BY17" s="887" t="s">
        <v>69</v>
      </c>
      <c r="BZ17" s="888"/>
      <c r="CA17" s="888"/>
      <c r="CB17" s="889"/>
      <c r="CC17" s="890" t="s">
        <v>75</v>
      </c>
      <c r="CD17" s="798" t="s">
        <v>76</v>
      </c>
      <c r="CE17" s="799" t="s">
        <v>77</v>
      </c>
      <c r="CF17" s="800" t="s">
        <v>78</v>
      </c>
      <c r="CG17" s="801"/>
      <c r="CH17" s="801"/>
      <c r="CI17" s="801"/>
      <c r="CJ17" s="801"/>
      <c r="CK17" s="801"/>
      <c r="CL17" s="801"/>
      <c r="CM17" s="801"/>
      <c r="CN17" s="801"/>
      <c r="CO17" s="801"/>
      <c r="CP17" s="801"/>
      <c r="CQ17" s="801"/>
      <c r="CR17" s="801"/>
      <c r="CS17" s="801"/>
      <c r="CT17" s="801"/>
      <c r="CU17" s="801"/>
      <c r="CV17" s="801"/>
      <c r="CW17" s="801"/>
      <c r="CX17" s="801"/>
      <c r="CY17" s="801"/>
      <c r="CZ17" s="801"/>
      <c r="DA17" s="793" t="s">
        <v>244</v>
      </c>
      <c r="DB17" s="793" t="s">
        <v>302</v>
      </c>
      <c r="DC17" s="892" t="s">
        <v>302</v>
      </c>
      <c r="DD17" s="894"/>
      <c r="DE17" s="881" t="s">
        <v>327</v>
      </c>
      <c r="DF17" s="892" t="s">
        <v>327</v>
      </c>
      <c r="DG17" s="894"/>
      <c r="DJ17" s="788"/>
    </row>
    <row r="18" spans="1:114" s="783" customFormat="1" ht="13.5" customHeight="1">
      <c r="A18" s="891"/>
      <c r="B18" s="915"/>
      <c r="C18" s="900"/>
      <c r="D18" s="793" t="s">
        <v>47</v>
      </c>
      <c r="E18" s="793" t="s">
        <v>47</v>
      </c>
      <c r="F18" s="793" t="s">
        <v>47</v>
      </c>
      <c r="G18" s="793" t="s">
        <v>47</v>
      </c>
      <c r="H18" s="803" t="s">
        <v>107</v>
      </c>
      <c r="I18" s="804" t="s">
        <v>108</v>
      </c>
      <c r="J18" s="805"/>
      <c r="K18" s="806"/>
      <c r="L18" s="807"/>
      <c r="M18" s="807"/>
      <c r="N18" s="807"/>
      <c r="O18" s="807"/>
      <c r="P18" s="807"/>
      <c r="Q18" s="807"/>
      <c r="R18" s="807"/>
      <c r="S18" s="807"/>
      <c r="T18" s="807"/>
      <c r="U18" s="807"/>
      <c r="V18" s="807"/>
      <c r="W18" s="807"/>
      <c r="X18" s="807"/>
      <c r="Y18" s="808"/>
      <c r="Z18" s="807"/>
      <c r="AA18" s="807"/>
      <c r="AB18" s="807"/>
      <c r="AC18" s="807"/>
      <c r="AD18" s="807"/>
      <c r="AE18" s="807"/>
      <c r="AF18" s="807"/>
      <c r="AG18" s="807"/>
      <c r="AH18" s="807"/>
      <c r="AI18" s="807"/>
      <c r="AJ18" s="807"/>
      <c r="AK18" s="808"/>
      <c r="AL18" s="807"/>
      <c r="AM18" s="807"/>
      <c r="AN18" s="807"/>
      <c r="AO18" s="807"/>
      <c r="AP18" s="807"/>
      <c r="AQ18" s="807"/>
      <c r="AR18" s="807"/>
      <c r="AS18" s="807"/>
      <c r="AT18" s="807"/>
      <c r="AU18" s="807"/>
      <c r="AV18" s="807"/>
      <c r="AW18" s="807"/>
      <c r="AX18" s="809" t="s">
        <v>129</v>
      </c>
      <c r="AY18" s="810" t="s">
        <v>48</v>
      </c>
      <c r="AZ18" s="811"/>
      <c r="BA18" s="906" t="s">
        <v>116</v>
      </c>
      <c r="BB18" s="907"/>
      <c r="BC18" s="907"/>
      <c r="BD18" s="907"/>
      <c r="BE18" s="908"/>
      <c r="BF18" s="812"/>
      <c r="BG18" s="812"/>
      <c r="BH18" s="812"/>
      <c r="BI18" s="813"/>
      <c r="BJ18" s="811"/>
      <c r="BK18" s="814"/>
      <c r="BL18" s="815"/>
      <c r="BM18" s="807"/>
      <c r="BN18" s="807"/>
      <c r="BO18" s="808"/>
      <c r="BP18" s="816"/>
      <c r="BQ18" s="807"/>
      <c r="BR18" s="807"/>
      <c r="BS18" s="808"/>
      <c r="BT18" s="816"/>
      <c r="BU18" s="807"/>
      <c r="BV18" s="807"/>
      <c r="BW18" s="808"/>
      <c r="BX18" s="886"/>
      <c r="BY18" s="817"/>
      <c r="BZ18" s="807"/>
      <c r="CA18" s="807"/>
      <c r="CB18" s="818"/>
      <c r="CC18" s="891"/>
      <c r="CD18" s="819"/>
      <c r="CE18" s="820"/>
      <c r="CF18" s="814"/>
      <c r="CG18" s="821"/>
      <c r="CH18" s="821"/>
      <c r="CI18" s="821"/>
      <c r="CJ18" s="821"/>
      <c r="CK18" s="821"/>
      <c r="CL18" s="821"/>
      <c r="CM18" s="821"/>
      <c r="CN18" s="821"/>
      <c r="CO18" s="821"/>
      <c r="CP18" s="821"/>
      <c r="CQ18" s="821"/>
      <c r="CR18" s="821"/>
      <c r="CS18" s="821"/>
      <c r="CT18" s="821"/>
      <c r="CU18" s="821"/>
      <c r="CV18" s="821"/>
      <c r="CW18" s="821"/>
      <c r="CX18" s="821"/>
      <c r="CY18" s="821"/>
      <c r="CZ18" s="821"/>
      <c r="DA18" s="793" t="s">
        <v>47</v>
      </c>
      <c r="DB18" s="793" t="s">
        <v>47</v>
      </c>
      <c r="DC18" s="793" t="s">
        <v>47</v>
      </c>
      <c r="DD18" s="793" t="s">
        <v>48</v>
      </c>
      <c r="DE18" s="916"/>
      <c r="DF18" s="881" t="s">
        <v>334</v>
      </c>
      <c r="DG18" s="881" t="s">
        <v>335</v>
      </c>
      <c r="DJ18" s="788"/>
    </row>
    <row r="19" spans="1:114" s="783" customFormat="1">
      <c r="A19" s="883" t="s">
        <v>43</v>
      </c>
      <c r="B19" s="884"/>
      <c r="C19" s="822"/>
      <c r="D19" s="728" t="s">
        <v>323</v>
      </c>
      <c r="E19" s="728" t="s">
        <v>321</v>
      </c>
      <c r="F19" s="728" t="s">
        <v>320</v>
      </c>
      <c r="G19" s="728" t="s">
        <v>319</v>
      </c>
      <c r="H19" s="729"/>
      <c r="I19" s="729"/>
      <c r="J19" s="729"/>
      <c r="K19" s="729"/>
      <c r="L19" s="729"/>
      <c r="M19" s="728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730"/>
      <c r="Y19" s="731"/>
      <c r="Z19" s="729"/>
      <c r="AA19" s="728"/>
      <c r="AB19" s="728"/>
      <c r="AC19" s="728"/>
      <c r="AD19" s="728"/>
      <c r="AE19" s="728"/>
      <c r="AF19" s="728"/>
      <c r="AG19" s="728"/>
      <c r="AH19" s="728"/>
      <c r="AI19" s="728"/>
      <c r="AJ19" s="730"/>
      <c r="AK19" s="732"/>
      <c r="AL19" s="729"/>
      <c r="AM19" s="728"/>
      <c r="AN19" s="728"/>
      <c r="AO19" s="728"/>
      <c r="AP19" s="728"/>
      <c r="AQ19" s="728"/>
      <c r="AR19" s="728"/>
      <c r="AS19" s="728"/>
      <c r="AT19" s="728"/>
      <c r="AU19" s="728"/>
      <c r="AV19" s="730"/>
      <c r="AW19" s="732"/>
      <c r="AX19" s="729"/>
      <c r="AY19" s="728"/>
      <c r="AZ19" s="733"/>
      <c r="BA19" s="734"/>
      <c r="BB19" s="734"/>
      <c r="BC19" s="734"/>
      <c r="BD19" s="734"/>
      <c r="BE19" s="735"/>
      <c r="BF19" s="733"/>
      <c r="BG19" s="734"/>
      <c r="BH19" s="734"/>
      <c r="BI19" s="735"/>
      <c r="BJ19" s="736"/>
      <c r="BK19" s="737"/>
      <c r="BL19" s="738"/>
      <c r="BM19" s="733"/>
      <c r="BN19" s="739"/>
      <c r="BO19" s="740"/>
      <c r="BP19" s="741"/>
      <c r="BQ19" s="734"/>
      <c r="BR19" s="739"/>
      <c r="BS19" s="740"/>
      <c r="BT19" s="733"/>
      <c r="BU19" s="734"/>
      <c r="BV19" s="739"/>
      <c r="BW19" s="740"/>
      <c r="BX19" s="742"/>
      <c r="BY19" s="743"/>
      <c r="BZ19" s="728"/>
      <c r="CA19" s="736"/>
      <c r="CB19" s="737"/>
      <c r="CC19" s="744"/>
      <c r="CD19" s="745"/>
      <c r="CE19" s="746"/>
      <c r="CF19" s="747"/>
      <c r="CG19" s="748"/>
      <c r="CH19" s="748"/>
      <c r="CI19" s="748"/>
      <c r="CJ19" s="748"/>
      <c r="CK19" s="748"/>
      <c r="CL19" s="748"/>
      <c r="CM19" s="748"/>
      <c r="CN19" s="748"/>
      <c r="CO19" s="748"/>
      <c r="CP19" s="748"/>
      <c r="CQ19" s="748"/>
      <c r="CR19" s="748"/>
      <c r="CS19" s="748"/>
      <c r="CT19" s="748"/>
      <c r="CU19" s="748"/>
      <c r="CV19" s="748"/>
      <c r="CW19" s="748"/>
      <c r="CX19" s="748"/>
      <c r="CY19" s="748"/>
      <c r="CZ19" s="748"/>
      <c r="DA19" s="728"/>
      <c r="DB19" s="728" t="s">
        <v>318</v>
      </c>
      <c r="DC19" s="775" t="s">
        <v>326</v>
      </c>
      <c r="DD19" s="775" t="s">
        <v>328</v>
      </c>
      <c r="DE19" s="882"/>
      <c r="DF19" s="882"/>
      <c r="DG19" s="882"/>
      <c r="DJ19" s="788"/>
    </row>
    <row r="20" spans="1:114" s="783" customFormat="1" ht="24">
      <c r="A20" s="114">
        <v>1</v>
      </c>
      <c r="B20" s="115" t="s">
        <v>301</v>
      </c>
      <c r="C20" s="824" t="s">
        <v>81</v>
      </c>
      <c r="D20" s="117">
        <f>D21+D24+D25+D26+D27</f>
        <v>122</v>
      </c>
      <c r="E20" s="117">
        <f>E21+E24+E25+E26+E27</f>
        <v>109.75</v>
      </c>
      <c r="F20" s="117">
        <f>F21+F24+F25+F26+F27</f>
        <v>111.77</v>
      </c>
      <c r="G20" s="117">
        <f>G21+G24+G25+G26+G27</f>
        <v>111.77</v>
      </c>
      <c r="H20" s="117" t="e">
        <f>H21+#REF!</f>
        <v>#REF!</v>
      </c>
      <c r="I20" s="117">
        <f>SUM(I21:I27)</f>
        <v>36</v>
      </c>
      <c r="J20" s="117">
        <f>SUM(J21:J27)</f>
        <v>9.5</v>
      </c>
      <c r="K20" s="117">
        <f>SUM(K21:K27)</f>
        <v>26.5</v>
      </c>
      <c r="L20" s="117" t="e">
        <f>L21+L24+#REF!</f>
        <v>#REF!</v>
      </c>
      <c r="M20" s="117" t="e">
        <f>M21+M24+#REF!+#REF!</f>
        <v>#REF!</v>
      </c>
      <c r="N20" s="117" t="e">
        <f>N21+#REF!</f>
        <v>#REF!</v>
      </c>
      <c r="O20" s="117" t="e">
        <f>O21+#REF!</f>
        <v>#REF!</v>
      </c>
      <c r="P20" s="117">
        <f t="shared" ref="P20:V20" si="0">SUM(P21:P27)</f>
        <v>0.71666666666666667</v>
      </c>
      <c r="Q20" s="117">
        <f t="shared" si="0"/>
        <v>0.66439000000000004</v>
      </c>
      <c r="R20" s="117">
        <f t="shared" si="0"/>
        <v>0.79166666666666663</v>
      </c>
      <c r="S20" s="117">
        <f t="shared" si="0"/>
        <v>0.77131986300000011</v>
      </c>
      <c r="T20" s="117">
        <f t="shared" si="0"/>
        <v>2.2083333333333335</v>
      </c>
      <c r="U20" s="117">
        <f t="shared" si="0"/>
        <v>2.1536701370000002</v>
      </c>
      <c r="V20" s="117">
        <f t="shared" si="0"/>
        <v>0.252</v>
      </c>
      <c r="W20" s="117"/>
      <c r="X20" s="118" t="e">
        <f>X21+#REF!</f>
        <v>#REF!</v>
      </c>
      <c r="Y20" s="119" t="e">
        <f>O20/N20</f>
        <v>#REF!</v>
      </c>
      <c r="Z20" s="117" t="e">
        <f>Z21+Z24+#REF!</f>
        <v>#REF!</v>
      </c>
      <c r="AA20" s="117" t="e">
        <f>AA21+AA24+#REF!+#REF!</f>
        <v>#REF!</v>
      </c>
      <c r="AB20" s="117" t="e">
        <f>AB21+#REF!</f>
        <v>#REF!</v>
      </c>
      <c r="AC20" s="117" t="e">
        <f>AC21+#REF!</f>
        <v>#REF!</v>
      </c>
      <c r="AD20" s="117">
        <f>SUM(AD21:AD27)</f>
        <v>0.79</v>
      </c>
      <c r="AE20" s="117">
        <f>SUM(AE21:AE27)</f>
        <v>0</v>
      </c>
      <c r="AF20" s="117">
        <f>SUM(AF21:AF27)</f>
        <v>2.21</v>
      </c>
      <c r="AG20" s="117">
        <f>SUM(AG21:AG27)</f>
        <v>0</v>
      </c>
      <c r="AH20" s="117">
        <f>SUM(AH21:AH27)</f>
        <v>0</v>
      </c>
      <c r="AI20" s="117"/>
      <c r="AJ20" s="118" t="e">
        <f>AJ21+#REF!</f>
        <v>#REF!</v>
      </c>
      <c r="AK20" s="120" t="e">
        <f>AC20/AB20</f>
        <v>#REF!</v>
      </c>
      <c r="AL20" s="117" t="e">
        <f>AL21+AL24+#REF!</f>
        <v>#REF!</v>
      </c>
      <c r="AM20" s="117" t="e">
        <f>AM21+AM24+#REF!+#REF!</f>
        <v>#REF!</v>
      </c>
      <c r="AN20" s="117" t="e">
        <f>AN21+#REF!</f>
        <v>#REF!</v>
      </c>
      <c r="AO20" s="117" t="e">
        <f>AO21+#REF!</f>
        <v>#REF!</v>
      </c>
      <c r="AP20" s="117">
        <f>SUM(AP21:AP27)</f>
        <v>0.79</v>
      </c>
      <c r="AQ20" s="117">
        <f>SUM(AQ21:AQ27)</f>
        <v>0</v>
      </c>
      <c r="AR20" s="117">
        <f>SUM(AR21:AR27)</f>
        <v>2.21</v>
      </c>
      <c r="AS20" s="117">
        <f>SUM(AS21:AS27)</f>
        <v>0</v>
      </c>
      <c r="AT20" s="117">
        <f>SUM(AT21:AT27)</f>
        <v>0</v>
      </c>
      <c r="AU20" s="117"/>
      <c r="AV20" s="118" t="e">
        <f>AV21+#REF!</f>
        <v>#REF!</v>
      </c>
      <c r="AW20" s="120" t="e">
        <f>AO20/AN20</f>
        <v>#REF!</v>
      </c>
      <c r="AX20" s="117" t="e">
        <f>AX21+AX24+#REF!</f>
        <v>#REF!</v>
      </c>
      <c r="AY20" s="117">
        <f>AY21+AY24+AY25+AY26+AY27</f>
        <v>107.63</v>
      </c>
      <c r="AZ20" s="121">
        <f>AZ21+AZ24+AZ25</f>
        <v>29.630000000000003</v>
      </c>
      <c r="BA20" s="122">
        <f>BA21</f>
        <v>70.39</v>
      </c>
      <c r="BB20" s="122">
        <f t="shared" ref="BB20:BG20" si="1">SUM(BB21:BB27)</f>
        <v>18.234999999999999</v>
      </c>
      <c r="BC20" s="122">
        <f t="shared" si="1"/>
        <v>31.21</v>
      </c>
      <c r="BD20" s="122">
        <f t="shared" si="1"/>
        <v>6.4</v>
      </c>
      <c r="BE20" s="123">
        <f t="shared" si="1"/>
        <v>6.03</v>
      </c>
      <c r="BF20" s="121">
        <f t="shared" si="1"/>
        <v>0</v>
      </c>
      <c r="BG20" s="122">
        <f t="shared" si="1"/>
        <v>0</v>
      </c>
      <c r="BH20" s="122"/>
      <c r="BI20" s="123"/>
      <c r="BJ20" s="288">
        <f>BA20-AZ20</f>
        <v>40.76</v>
      </c>
      <c r="BK20" s="407">
        <f>BA20/AZ20</f>
        <v>2.3756328045899426</v>
      </c>
      <c r="BL20" s="408"/>
      <c r="BM20" s="121">
        <f>SUM(BM21:BM27)</f>
        <v>0.57499999999999996</v>
      </c>
      <c r="BN20" s="122"/>
      <c r="BO20" s="409"/>
      <c r="BP20" s="121"/>
      <c r="BQ20" s="122"/>
      <c r="BR20" s="122"/>
      <c r="BS20" s="410"/>
      <c r="BT20" s="121"/>
      <c r="BU20" s="122"/>
      <c r="BV20" s="122"/>
      <c r="BW20" s="410"/>
      <c r="BX20" s="411" t="e">
        <f>BX21+BX24+#REF!</f>
        <v>#REF!</v>
      </c>
      <c r="BY20" s="412" t="e">
        <f>BY21+BY24+#REF!</f>
        <v>#REF!</v>
      </c>
      <c r="BZ20" s="117" t="e">
        <f>BZ21+BZ24+#REF!+#REF!</f>
        <v>#REF!</v>
      </c>
      <c r="CA20" s="121" t="e">
        <f>BZ20-BY20</f>
        <v>#REF!</v>
      </c>
      <c r="CB20" s="413" t="e">
        <f>BZ20/BY20</f>
        <v>#REF!</v>
      </c>
      <c r="CC20" s="414" t="e">
        <f>BZ20-E20</f>
        <v>#REF!</v>
      </c>
      <c r="CD20" s="415" t="e">
        <f>CD21+CD24+#REF!</f>
        <v>#REF!</v>
      </c>
      <c r="CE20" s="122">
        <f>SUM(CE21:CE27)</f>
        <v>4.97</v>
      </c>
      <c r="CF20" s="123"/>
      <c r="CG20" s="416"/>
      <c r="CH20" s="416"/>
      <c r="CI20" s="416"/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117">
        <f t="shared" ref="DA20:DG20" si="2">DA21+DA24+DA25+DA26+DA27</f>
        <v>109.75</v>
      </c>
      <c r="DB20" s="117">
        <f t="shared" si="2"/>
        <v>117.27</v>
      </c>
      <c r="DC20" s="117">
        <f t="shared" si="2"/>
        <v>112.8</v>
      </c>
      <c r="DD20" s="117">
        <f t="shared" si="2"/>
        <v>102.06</v>
      </c>
      <c r="DE20" s="117">
        <f t="shared" si="2"/>
        <v>114.50999999999999</v>
      </c>
      <c r="DF20" s="117">
        <f t="shared" si="2"/>
        <v>56.4</v>
      </c>
      <c r="DG20" s="825">
        <f t="shared" si="2"/>
        <v>58.11</v>
      </c>
      <c r="DI20" s="826"/>
      <c r="DJ20" s="788"/>
    </row>
    <row r="21" spans="1:114" s="783" customFormat="1" ht="24">
      <c r="A21" s="124"/>
      <c r="B21" s="125" t="s">
        <v>87</v>
      </c>
      <c r="C21" s="827" t="s">
        <v>81</v>
      </c>
      <c r="D21" s="78">
        <v>84</v>
      </c>
      <c r="E21" s="78">
        <v>66.7</v>
      </c>
      <c r="F21" s="78">
        <v>66.7</v>
      </c>
      <c r="G21" s="78">
        <v>66.7</v>
      </c>
      <c r="H21" s="3">
        <v>85</v>
      </c>
      <c r="I21" s="3"/>
      <c r="J21" s="3"/>
      <c r="K21" s="3"/>
      <c r="L21" s="3">
        <f>G21/12</f>
        <v>5.5583333333333336</v>
      </c>
      <c r="M21" s="3">
        <f>M22+M23</f>
        <v>6.2536199999999997</v>
      </c>
      <c r="N21" s="3">
        <f>G21/12</f>
        <v>5.5583333333333336</v>
      </c>
      <c r="O21" s="3">
        <f>O22+O23</f>
        <v>6.2536199999999997</v>
      </c>
      <c r="P21" s="3"/>
      <c r="Q21" s="3"/>
      <c r="R21" s="3"/>
      <c r="S21" s="3"/>
      <c r="T21" s="3"/>
      <c r="U21" s="3"/>
      <c r="V21" s="3"/>
      <c r="W21" s="3"/>
      <c r="X21" s="127">
        <f>O21-N21</f>
        <v>0.69528666666666616</v>
      </c>
      <c r="Y21" s="128">
        <f>O21/N21</f>
        <v>1.1250890554722637</v>
      </c>
      <c r="Z21" s="3">
        <f>Z22+Z23</f>
        <v>7.09</v>
      </c>
      <c r="AA21" s="3"/>
      <c r="AB21" s="3">
        <f>AB22+AB23</f>
        <v>7.09</v>
      </c>
      <c r="AC21" s="3"/>
      <c r="AD21" s="3"/>
      <c r="AE21" s="3"/>
      <c r="AF21" s="3"/>
      <c r="AG21" s="3"/>
      <c r="AH21" s="3"/>
      <c r="AI21" s="3"/>
      <c r="AJ21" s="127">
        <f>AC21-AB21</f>
        <v>-7.09</v>
      </c>
      <c r="AK21" s="129">
        <f>AC21/AB21</f>
        <v>0</v>
      </c>
      <c r="AL21" s="3">
        <f>AL22+AL23</f>
        <v>7.09</v>
      </c>
      <c r="AM21" s="3"/>
      <c r="AN21" s="3">
        <f>AN22+AN23</f>
        <v>7.09</v>
      </c>
      <c r="AO21" s="3"/>
      <c r="AP21" s="3"/>
      <c r="AQ21" s="3"/>
      <c r="AR21" s="3"/>
      <c r="AS21" s="3"/>
      <c r="AT21" s="3"/>
      <c r="AU21" s="3"/>
      <c r="AV21" s="127">
        <f>AO21-AN21</f>
        <v>-7.09</v>
      </c>
      <c r="AW21" s="129">
        <f>AO21/AN21</f>
        <v>0</v>
      </c>
      <c r="AX21" s="33">
        <f>AX22+AX23</f>
        <v>43.5</v>
      </c>
      <c r="AY21" s="33">
        <v>70.39</v>
      </c>
      <c r="AZ21" s="102">
        <f>AZ22+AZ23</f>
        <v>19.09</v>
      </c>
      <c r="BA21" s="103">
        <f>AY21</f>
        <v>70.39</v>
      </c>
      <c r="BB21" s="103"/>
      <c r="BC21" s="103"/>
      <c r="BD21" s="103"/>
      <c r="BE21" s="104"/>
      <c r="BF21" s="102"/>
      <c r="BG21" s="103"/>
      <c r="BH21" s="103"/>
      <c r="BI21" s="104"/>
      <c r="BJ21" s="417">
        <f>BA21-AZ21</f>
        <v>51.3</v>
      </c>
      <c r="BK21" s="418">
        <f>BA21/AZ21</f>
        <v>3.6872708224201154</v>
      </c>
      <c r="BL21" s="419"/>
      <c r="BM21" s="102"/>
      <c r="BN21" s="103"/>
      <c r="BO21" s="420"/>
      <c r="BP21" s="102"/>
      <c r="BQ21" s="103"/>
      <c r="BR21" s="103"/>
      <c r="BS21" s="421"/>
      <c r="BT21" s="102"/>
      <c r="BU21" s="103"/>
      <c r="BV21" s="103"/>
      <c r="BW21" s="421"/>
      <c r="BX21" s="422">
        <v>78.010000000000005</v>
      </c>
      <c r="BY21" s="423">
        <f>BY22+BY23</f>
        <v>85</v>
      </c>
      <c r="BZ21" s="33">
        <f>BZ22+BZ23</f>
        <v>91.91</v>
      </c>
      <c r="CA21" s="102">
        <f>BZ21-BY21</f>
        <v>6.9099999999999966</v>
      </c>
      <c r="CB21" s="424">
        <f>BZ21/BY21</f>
        <v>1.0812941176470587</v>
      </c>
      <c r="CC21" s="93">
        <f>BZ21-E21</f>
        <v>25.209999999999994</v>
      </c>
      <c r="CD21" s="425">
        <v>91.91</v>
      </c>
      <c r="CE21" s="103"/>
      <c r="CF21" s="104"/>
      <c r="CG21" s="406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33">
        <v>66.7</v>
      </c>
      <c r="DB21" s="33">
        <v>72.2</v>
      </c>
      <c r="DC21" s="78">
        <v>72.2</v>
      </c>
      <c r="DD21" s="78">
        <v>65.2</v>
      </c>
      <c r="DE21" s="78">
        <v>73.91</v>
      </c>
      <c r="DF21" s="828">
        <v>36.1</v>
      </c>
      <c r="DG21" s="134">
        <v>37.81</v>
      </c>
      <c r="DI21" s="826"/>
      <c r="DJ21" s="788"/>
    </row>
    <row r="22" spans="1:114" s="783" customFormat="1" ht="12" hidden="1" customHeight="1">
      <c r="A22" s="130"/>
      <c r="B22" s="131" t="s">
        <v>336</v>
      </c>
      <c r="C22" s="829" t="s">
        <v>81</v>
      </c>
      <c r="D22" s="79">
        <v>81.3</v>
      </c>
      <c r="E22" s="79">
        <v>81.3</v>
      </c>
      <c r="F22" s="79">
        <v>81.3</v>
      </c>
      <c r="G22" s="79">
        <v>81.3</v>
      </c>
      <c r="H22" s="133">
        <v>79.53</v>
      </c>
      <c r="I22" s="134"/>
      <c r="J22" s="134"/>
      <c r="K22" s="134"/>
      <c r="L22" s="133">
        <v>6.625</v>
      </c>
      <c r="M22" s="133">
        <v>5.8500100000000002</v>
      </c>
      <c r="N22" s="133">
        <v>6.63</v>
      </c>
      <c r="O22" s="133">
        <f>M22</f>
        <v>5.8500100000000002</v>
      </c>
      <c r="P22" s="133"/>
      <c r="Q22" s="133"/>
      <c r="R22" s="134"/>
      <c r="S22" s="134"/>
      <c r="T22" s="134"/>
      <c r="U22" s="134"/>
      <c r="V22" s="134"/>
      <c r="W22" s="134"/>
      <c r="X22" s="135">
        <f>O22-N22</f>
        <v>-0.77998999999999974</v>
      </c>
      <c r="Y22" s="136">
        <f>O22/N22</f>
        <v>0.88235444947209651</v>
      </c>
      <c r="Z22" s="133">
        <v>6.63</v>
      </c>
      <c r="AA22" s="133"/>
      <c r="AB22" s="133">
        <v>6.63</v>
      </c>
      <c r="AC22" s="133"/>
      <c r="AD22" s="134"/>
      <c r="AE22" s="134"/>
      <c r="AF22" s="134"/>
      <c r="AG22" s="134"/>
      <c r="AH22" s="134"/>
      <c r="AI22" s="134"/>
      <c r="AJ22" s="135">
        <f>AC22-AB22</f>
        <v>-6.63</v>
      </c>
      <c r="AK22" s="137">
        <f>AC22/AB22</f>
        <v>0</v>
      </c>
      <c r="AL22" s="133">
        <v>6.63</v>
      </c>
      <c r="AM22" s="133"/>
      <c r="AN22" s="133">
        <v>6.63</v>
      </c>
      <c r="AO22" s="133"/>
      <c r="AP22" s="134"/>
      <c r="AQ22" s="134"/>
      <c r="AR22" s="134"/>
      <c r="AS22" s="134"/>
      <c r="AT22" s="134"/>
      <c r="AU22" s="134"/>
      <c r="AV22" s="135">
        <f>AO22-AN22</f>
        <v>-6.63</v>
      </c>
      <c r="AW22" s="137">
        <f>AO22/AN22</f>
        <v>0</v>
      </c>
      <c r="AX22" s="79">
        <f t="shared" ref="AX22:AX27" si="3">G22/2</f>
        <v>40.65</v>
      </c>
      <c r="AY22" s="79">
        <v>86.19</v>
      </c>
      <c r="AZ22" s="138">
        <v>17.86</v>
      </c>
      <c r="BA22" s="139">
        <f>AY22</f>
        <v>86.19</v>
      </c>
      <c r="BB22" s="62"/>
      <c r="BC22" s="62"/>
      <c r="BD22" s="62"/>
      <c r="BE22" s="110"/>
      <c r="BF22" s="109"/>
      <c r="BG22" s="62"/>
      <c r="BH22" s="62"/>
      <c r="BI22" s="110"/>
      <c r="BJ22" s="426">
        <f>BA22-AZ22</f>
        <v>68.33</v>
      </c>
      <c r="BK22" s="427">
        <f>BA22/AZ22</f>
        <v>4.8258678611422177</v>
      </c>
      <c r="BL22" s="428"/>
      <c r="BM22" s="109"/>
      <c r="BN22" s="62"/>
      <c r="BO22" s="429"/>
      <c r="BP22" s="109"/>
      <c r="BQ22" s="62"/>
      <c r="BR22" s="62"/>
      <c r="BS22" s="430"/>
      <c r="BT22" s="109"/>
      <c r="BU22" s="62"/>
      <c r="BV22" s="62"/>
      <c r="BW22" s="430"/>
      <c r="BX22" s="431"/>
      <c r="BY22" s="432">
        <v>79.53</v>
      </c>
      <c r="BZ22" s="31">
        <v>86</v>
      </c>
      <c r="CA22" s="109"/>
      <c r="CB22" s="433"/>
      <c r="CC22" s="72"/>
      <c r="CD22" s="434">
        <v>86</v>
      </c>
      <c r="CE22" s="62"/>
      <c r="CF22" s="110"/>
      <c r="CG22" s="406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79">
        <v>86.19</v>
      </c>
      <c r="DB22" s="79">
        <v>86.19</v>
      </c>
      <c r="DC22" s="79">
        <v>81.3</v>
      </c>
      <c r="DD22" s="79">
        <v>81.3</v>
      </c>
      <c r="DE22" s="79">
        <v>81.3</v>
      </c>
      <c r="DF22" s="830">
        <v>81.3</v>
      </c>
      <c r="DG22" s="134">
        <f>DF22/2</f>
        <v>40.65</v>
      </c>
      <c r="DI22" s="826"/>
      <c r="DJ22" s="788"/>
    </row>
    <row r="23" spans="1:114" s="783" customFormat="1" ht="12" hidden="1" customHeight="1">
      <c r="A23" s="130"/>
      <c r="B23" s="131" t="s">
        <v>337</v>
      </c>
      <c r="C23" s="829" t="s">
        <v>81</v>
      </c>
      <c r="D23" s="79">
        <v>5.7</v>
      </c>
      <c r="E23" s="79">
        <v>5.7</v>
      </c>
      <c r="F23" s="79">
        <v>5.7</v>
      </c>
      <c r="G23" s="79">
        <v>5.7</v>
      </c>
      <c r="H23" s="133">
        <v>5.46</v>
      </c>
      <c r="I23" s="134"/>
      <c r="J23" s="134"/>
      <c r="K23" s="134"/>
      <c r="L23" s="133">
        <v>0.45500000000000002</v>
      </c>
      <c r="M23" s="133">
        <v>0.40361000000000002</v>
      </c>
      <c r="N23" s="133">
        <v>0.46</v>
      </c>
      <c r="O23" s="133">
        <f>M23</f>
        <v>0.40361000000000002</v>
      </c>
      <c r="P23" s="133"/>
      <c r="Q23" s="133"/>
      <c r="R23" s="134"/>
      <c r="S23" s="134"/>
      <c r="T23" s="134"/>
      <c r="U23" s="134"/>
      <c r="V23" s="134"/>
      <c r="W23" s="134"/>
      <c r="X23" s="135">
        <f>O23-N23</f>
        <v>-5.6389999999999996E-2</v>
      </c>
      <c r="Y23" s="136">
        <f>O23/N23</f>
        <v>0.87741304347826088</v>
      </c>
      <c r="Z23" s="133">
        <v>0.46</v>
      </c>
      <c r="AA23" s="133"/>
      <c r="AB23" s="133">
        <v>0.46</v>
      </c>
      <c r="AC23" s="133"/>
      <c r="AD23" s="134"/>
      <c r="AE23" s="134"/>
      <c r="AF23" s="134"/>
      <c r="AG23" s="134"/>
      <c r="AH23" s="134"/>
      <c r="AI23" s="134"/>
      <c r="AJ23" s="135">
        <f>AC23-AB23</f>
        <v>-0.46</v>
      </c>
      <c r="AK23" s="137">
        <f>AC23/AB23</f>
        <v>0</v>
      </c>
      <c r="AL23" s="133">
        <v>0.46</v>
      </c>
      <c r="AM23" s="133"/>
      <c r="AN23" s="133">
        <v>0.46</v>
      </c>
      <c r="AO23" s="133"/>
      <c r="AP23" s="134"/>
      <c r="AQ23" s="134"/>
      <c r="AR23" s="134"/>
      <c r="AS23" s="134"/>
      <c r="AT23" s="134"/>
      <c r="AU23" s="134"/>
      <c r="AV23" s="135">
        <f>AO23-AN23</f>
        <v>-0.46</v>
      </c>
      <c r="AW23" s="137">
        <f>AO23/AN23</f>
        <v>0</v>
      </c>
      <c r="AX23" s="79">
        <f t="shared" si="3"/>
        <v>2.85</v>
      </c>
      <c r="AY23" s="79">
        <v>2.82</v>
      </c>
      <c r="AZ23" s="138">
        <v>1.23</v>
      </c>
      <c r="BA23" s="139">
        <f>AY23</f>
        <v>2.82</v>
      </c>
      <c r="BB23" s="62"/>
      <c r="BC23" s="62"/>
      <c r="BD23" s="62"/>
      <c r="BE23" s="110"/>
      <c r="BF23" s="109"/>
      <c r="BG23" s="62"/>
      <c r="BH23" s="62"/>
      <c r="BI23" s="110"/>
      <c r="BJ23" s="426">
        <f>BA23-AZ23</f>
        <v>1.5899999999999999</v>
      </c>
      <c r="BK23" s="427">
        <f>BA23/AZ23</f>
        <v>2.2926829268292681</v>
      </c>
      <c r="BL23" s="428"/>
      <c r="BM23" s="109"/>
      <c r="BN23" s="62"/>
      <c r="BO23" s="429"/>
      <c r="BP23" s="109"/>
      <c r="BQ23" s="62"/>
      <c r="BR23" s="62"/>
      <c r="BS23" s="430"/>
      <c r="BT23" s="109"/>
      <c r="BU23" s="62"/>
      <c r="BV23" s="62"/>
      <c r="BW23" s="430"/>
      <c r="BX23" s="431"/>
      <c r="BY23" s="432">
        <v>5.47</v>
      </c>
      <c r="BZ23" s="31">
        <v>5.91</v>
      </c>
      <c r="CA23" s="109"/>
      <c r="CB23" s="433"/>
      <c r="CC23" s="72"/>
      <c r="CD23" s="434">
        <v>5.91</v>
      </c>
      <c r="CE23" s="62"/>
      <c r="CF23" s="110"/>
      <c r="CG23" s="406"/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  <c r="CS23" s="406"/>
      <c r="CT23" s="406"/>
      <c r="CU23" s="406"/>
      <c r="CV23" s="406"/>
      <c r="CW23" s="406"/>
      <c r="CX23" s="406"/>
      <c r="CY23" s="406"/>
      <c r="CZ23" s="406"/>
      <c r="DA23" s="79">
        <v>2.82</v>
      </c>
      <c r="DB23" s="79">
        <v>2.82</v>
      </c>
      <c r="DC23" s="79">
        <v>5.7</v>
      </c>
      <c r="DD23" s="79">
        <v>5.7</v>
      </c>
      <c r="DE23" s="79">
        <v>5.7</v>
      </c>
      <c r="DF23" s="830">
        <v>5.7</v>
      </c>
      <c r="DG23" s="134">
        <f>DF23/2</f>
        <v>2.85</v>
      </c>
      <c r="DI23" s="826"/>
      <c r="DJ23" s="788"/>
    </row>
    <row r="24" spans="1:114" s="783" customFormat="1" ht="24">
      <c r="A24" s="130"/>
      <c r="B24" s="131" t="s">
        <v>88</v>
      </c>
      <c r="C24" s="829" t="s">
        <v>81</v>
      </c>
      <c r="D24" s="31">
        <v>30</v>
      </c>
      <c r="E24" s="31">
        <v>34.450000000000003</v>
      </c>
      <c r="F24" s="31">
        <v>36.47</v>
      </c>
      <c r="G24" s="31">
        <v>36.47</v>
      </c>
      <c r="H24" s="134"/>
      <c r="I24" s="134">
        <v>36</v>
      </c>
      <c r="J24" s="134">
        <v>9.5</v>
      </c>
      <c r="K24" s="134">
        <v>26.5</v>
      </c>
      <c r="L24" s="134">
        <f>G24/12</f>
        <v>3.0391666666666666</v>
      </c>
      <c r="M24" s="134">
        <v>2.9249900000000002</v>
      </c>
      <c r="N24" s="134"/>
      <c r="O24" s="134"/>
      <c r="P24" s="134"/>
      <c r="Q24" s="134"/>
      <c r="R24" s="134">
        <f>J24/12</f>
        <v>0.79166666666666663</v>
      </c>
      <c r="S24" s="134">
        <f>M24*26.37/100</f>
        <v>0.77131986300000011</v>
      </c>
      <c r="T24" s="134">
        <f>K24/12</f>
        <v>2.2083333333333335</v>
      </c>
      <c r="U24" s="134">
        <f>M24-S24</f>
        <v>2.1536701370000002</v>
      </c>
      <c r="V24" s="134"/>
      <c r="W24" s="134"/>
      <c r="X24" s="140"/>
      <c r="Y24" s="136"/>
      <c r="Z24" s="134">
        <v>3</v>
      </c>
      <c r="AA24" s="134"/>
      <c r="AB24" s="134"/>
      <c r="AC24" s="134"/>
      <c r="AD24" s="134">
        <v>0.79</v>
      </c>
      <c r="AE24" s="134"/>
      <c r="AF24" s="134">
        <v>2.21</v>
      </c>
      <c r="AG24" s="134"/>
      <c r="AH24" s="134"/>
      <c r="AI24" s="134"/>
      <c r="AJ24" s="140"/>
      <c r="AK24" s="137"/>
      <c r="AL24" s="134">
        <v>3</v>
      </c>
      <c r="AM24" s="134"/>
      <c r="AN24" s="134"/>
      <c r="AO24" s="134"/>
      <c r="AP24" s="134">
        <v>0.79</v>
      </c>
      <c r="AQ24" s="134"/>
      <c r="AR24" s="134">
        <v>2.21</v>
      </c>
      <c r="AS24" s="134"/>
      <c r="AT24" s="134"/>
      <c r="AU24" s="134"/>
      <c r="AV24" s="140"/>
      <c r="AW24" s="137"/>
      <c r="AX24" s="31">
        <f t="shared" si="3"/>
        <v>18.234999999999999</v>
      </c>
      <c r="AY24" s="31">
        <v>31.21</v>
      </c>
      <c r="AZ24" s="109">
        <v>9.1199999999999992</v>
      </c>
      <c r="BA24" s="62"/>
      <c r="BB24" s="62">
        <f>AX24</f>
        <v>18.234999999999999</v>
      </c>
      <c r="BC24" s="62">
        <f>AY24</f>
        <v>31.21</v>
      </c>
      <c r="BD24" s="62"/>
      <c r="BE24" s="110"/>
      <c r="BF24" s="109"/>
      <c r="BG24" s="62"/>
      <c r="BH24" s="62"/>
      <c r="BI24" s="110"/>
      <c r="BJ24" s="426"/>
      <c r="BK24" s="427"/>
      <c r="BL24" s="428"/>
      <c r="BM24" s="109"/>
      <c r="BN24" s="62"/>
      <c r="BO24" s="429"/>
      <c r="BP24" s="109"/>
      <c r="BQ24" s="62"/>
      <c r="BR24" s="62"/>
      <c r="BS24" s="430"/>
      <c r="BT24" s="109"/>
      <c r="BU24" s="62"/>
      <c r="BV24" s="62"/>
      <c r="BW24" s="430"/>
      <c r="BX24" s="431">
        <v>36.590000000000003</v>
      </c>
      <c r="BY24" s="432">
        <f>L24+BL24+BP24+BT24</f>
        <v>3.0391666666666666</v>
      </c>
      <c r="BZ24" s="31">
        <v>43</v>
      </c>
      <c r="CA24" s="109">
        <f>BZ24-BY24</f>
        <v>39.960833333333333</v>
      </c>
      <c r="CB24" s="433">
        <f>BZ24/BY24</f>
        <v>14.148615300246778</v>
      </c>
      <c r="CC24" s="72">
        <f>BZ24-E24</f>
        <v>8.5499999999999972</v>
      </c>
      <c r="CD24" s="434">
        <v>43</v>
      </c>
      <c r="CE24" s="62"/>
      <c r="CF24" s="110"/>
      <c r="CG24" s="406"/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6"/>
      <c r="DA24" s="31">
        <v>34.450000000000003</v>
      </c>
      <c r="DB24" s="31">
        <v>36.47</v>
      </c>
      <c r="DC24" s="31">
        <v>32</v>
      </c>
      <c r="DD24" s="31">
        <v>28.26</v>
      </c>
      <c r="DE24" s="31">
        <v>32</v>
      </c>
      <c r="DF24" s="432">
        <v>16</v>
      </c>
      <c r="DG24" s="134">
        <v>16</v>
      </c>
      <c r="DI24" s="826"/>
      <c r="DJ24" s="788"/>
    </row>
    <row r="25" spans="1:114" s="783" customFormat="1" ht="24">
      <c r="A25" s="141"/>
      <c r="B25" s="142" t="s">
        <v>90</v>
      </c>
      <c r="C25" s="831" t="s">
        <v>81</v>
      </c>
      <c r="D25" s="78">
        <v>8</v>
      </c>
      <c r="E25" s="78">
        <v>8.6</v>
      </c>
      <c r="F25" s="78">
        <v>8.6</v>
      </c>
      <c r="G25" s="78">
        <v>8.6</v>
      </c>
      <c r="H25" s="145">
        <v>25.6</v>
      </c>
      <c r="I25" s="145"/>
      <c r="J25" s="145"/>
      <c r="K25" s="145"/>
      <c r="L25" s="145">
        <f>G25/12</f>
        <v>0.71666666666666667</v>
      </c>
      <c r="M25" s="145">
        <v>0.66439000000000004</v>
      </c>
      <c r="N25" s="145"/>
      <c r="O25" s="145"/>
      <c r="P25" s="145">
        <f>L25</f>
        <v>0.71666666666666667</v>
      </c>
      <c r="Q25" s="145">
        <f>M25</f>
        <v>0.66439000000000004</v>
      </c>
      <c r="R25" s="145"/>
      <c r="S25" s="145"/>
      <c r="T25" s="145"/>
      <c r="U25" s="145"/>
      <c r="V25" s="145"/>
      <c r="W25" s="145"/>
      <c r="X25" s="146">
        <f>O25-N25</f>
        <v>0</v>
      </c>
      <c r="Y25" s="147" t="e">
        <f>O25/N25</f>
        <v>#DIV/0!</v>
      </c>
      <c r="Z25" s="145">
        <v>2.13</v>
      </c>
      <c r="AA25" s="145"/>
      <c r="AB25" s="145">
        <v>2.13</v>
      </c>
      <c r="AC25" s="145"/>
      <c r="AD25" s="145"/>
      <c r="AE25" s="145"/>
      <c r="AF25" s="145"/>
      <c r="AG25" s="145"/>
      <c r="AH25" s="145"/>
      <c r="AI25" s="145"/>
      <c r="AJ25" s="146">
        <f>AC25-AB25</f>
        <v>-2.13</v>
      </c>
      <c r="AK25" s="148">
        <f>AC25/AB25</f>
        <v>0</v>
      </c>
      <c r="AL25" s="145">
        <v>2.13</v>
      </c>
      <c r="AM25" s="145"/>
      <c r="AN25" s="145">
        <v>2.13</v>
      </c>
      <c r="AO25" s="145"/>
      <c r="AP25" s="145"/>
      <c r="AQ25" s="145"/>
      <c r="AR25" s="145"/>
      <c r="AS25" s="145"/>
      <c r="AT25" s="145"/>
      <c r="AU25" s="145"/>
      <c r="AV25" s="146">
        <f>AO25-AN25</f>
        <v>-2.13</v>
      </c>
      <c r="AW25" s="148">
        <f>AO25/AN25</f>
        <v>0</v>
      </c>
      <c r="AX25" s="144">
        <f t="shared" si="3"/>
        <v>4.3</v>
      </c>
      <c r="AY25" s="144">
        <v>6.03</v>
      </c>
      <c r="AZ25" s="149">
        <v>1.42</v>
      </c>
      <c r="BA25" s="150"/>
      <c r="BB25" s="150"/>
      <c r="BC25" s="150"/>
      <c r="BD25" s="150">
        <v>6.4</v>
      </c>
      <c r="BE25" s="151">
        <f>AY25</f>
        <v>6.03</v>
      </c>
      <c r="BF25" s="149"/>
      <c r="BG25" s="150"/>
      <c r="BH25" s="150"/>
      <c r="BI25" s="151"/>
      <c r="BJ25" s="435">
        <f>BA25-AZ25</f>
        <v>-1.42</v>
      </c>
      <c r="BK25" s="436">
        <f>BA25/AZ25</f>
        <v>0</v>
      </c>
      <c r="BL25" s="437"/>
      <c r="BM25" s="149"/>
      <c r="BN25" s="150"/>
      <c r="BO25" s="438"/>
      <c r="BP25" s="149"/>
      <c r="BQ25" s="150"/>
      <c r="BR25" s="150"/>
      <c r="BS25" s="439"/>
      <c r="BT25" s="149"/>
      <c r="BU25" s="150"/>
      <c r="BV25" s="150"/>
      <c r="BW25" s="439"/>
      <c r="BX25" s="440">
        <v>23.14</v>
      </c>
      <c r="BY25" s="441">
        <f>L25+BL25+BP25+BT25</f>
        <v>0.71666666666666667</v>
      </c>
      <c r="BZ25" s="144">
        <v>8.86</v>
      </c>
      <c r="CA25" s="149">
        <f>BZ25-BY25</f>
        <v>8.1433333333333326</v>
      </c>
      <c r="CB25" s="442">
        <f>BZ25/BY25</f>
        <v>12.362790697674418</v>
      </c>
      <c r="CC25" s="246">
        <f>BZ25-E25</f>
        <v>0.25999999999999979</v>
      </c>
      <c r="CD25" s="443">
        <v>8.86</v>
      </c>
      <c r="CE25" s="150"/>
      <c r="CF25" s="151"/>
      <c r="CG25" s="406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144">
        <v>8.6</v>
      </c>
      <c r="DB25" s="144">
        <f>8.6</f>
        <v>8.6</v>
      </c>
      <c r="DC25" s="78">
        <v>8.6</v>
      </c>
      <c r="DD25" s="78">
        <v>8.6</v>
      </c>
      <c r="DE25" s="78">
        <v>8.6</v>
      </c>
      <c r="DF25" s="828">
        <v>4.3</v>
      </c>
      <c r="DG25" s="134">
        <v>4.3</v>
      </c>
      <c r="DI25" s="826"/>
      <c r="DJ25" s="788"/>
    </row>
    <row r="26" spans="1:114" s="783" customFormat="1" ht="24" hidden="1" customHeight="1">
      <c r="A26" s="141"/>
      <c r="B26" s="142" t="s">
        <v>155</v>
      </c>
      <c r="C26" s="829" t="s">
        <v>81</v>
      </c>
      <c r="D26" s="31"/>
      <c r="E26" s="31"/>
      <c r="F26" s="31"/>
      <c r="G26" s="31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6"/>
      <c r="Y26" s="147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6"/>
      <c r="AK26" s="148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6"/>
      <c r="AW26" s="148"/>
      <c r="AX26" s="144">
        <f t="shared" si="3"/>
        <v>0</v>
      </c>
      <c r="AY26" s="144"/>
      <c r="AZ26" s="149"/>
      <c r="BA26" s="150"/>
      <c r="BB26" s="150"/>
      <c r="BC26" s="150"/>
      <c r="BD26" s="150"/>
      <c r="BE26" s="151"/>
      <c r="BF26" s="149">
        <f>AY26</f>
        <v>0</v>
      </c>
      <c r="BG26" s="150"/>
      <c r="BH26" s="150"/>
      <c r="BI26" s="151"/>
      <c r="BJ26" s="435"/>
      <c r="BK26" s="436"/>
      <c r="BL26" s="437"/>
      <c r="BM26" s="149"/>
      <c r="BN26" s="150"/>
      <c r="BO26" s="438"/>
      <c r="BP26" s="149"/>
      <c r="BQ26" s="150"/>
      <c r="BR26" s="150"/>
      <c r="BS26" s="439"/>
      <c r="BT26" s="149"/>
      <c r="BU26" s="150"/>
      <c r="BV26" s="150"/>
      <c r="BW26" s="439"/>
      <c r="BX26" s="440"/>
      <c r="BY26" s="441"/>
      <c r="BZ26" s="144"/>
      <c r="CA26" s="149"/>
      <c r="CB26" s="442"/>
      <c r="CC26" s="246"/>
      <c r="CD26" s="443"/>
      <c r="CE26" s="150"/>
      <c r="CF26" s="151"/>
      <c r="CG26" s="406"/>
      <c r="CH26" s="406"/>
      <c r="CI26" s="406"/>
      <c r="CJ26" s="406"/>
      <c r="CK26" s="406"/>
      <c r="CL26" s="406"/>
      <c r="CM26" s="406"/>
      <c r="CN26" s="406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6"/>
      <c r="CZ26" s="406"/>
      <c r="DA26" s="144"/>
      <c r="DB26" s="144"/>
      <c r="DC26" s="31"/>
      <c r="DD26" s="31"/>
      <c r="DE26" s="31"/>
      <c r="DF26" s="31"/>
      <c r="DG26" s="3"/>
      <c r="DI26" s="826"/>
      <c r="DJ26" s="788"/>
    </row>
    <row r="27" spans="1:114" s="783" customFormat="1" ht="12" hidden="1" customHeight="1">
      <c r="A27" s="130"/>
      <c r="B27" s="131" t="s">
        <v>89</v>
      </c>
      <c r="C27" s="829" t="s">
        <v>81</v>
      </c>
      <c r="D27" s="31"/>
      <c r="E27" s="31"/>
      <c r="F27" s="31"/>
      <c r="G27" s="31"/>
      <c r="H27" s="134"/>
      <c r="I27" s="134"/>
      <c r="J27" s="134"/>
      <c r="K27" s="134"/>
      <c r="L27" s="134"/>
      <c r="M27" s="134">
        <v>0.252</v>
      </c>
      <c r="N27" s="134"/>
      <c r="O27" s="134"/>
      <c r="P27" s="134"/>
      <c r="Q27" s="134"/>
      <c r="R27" s="134"/>
      <c r="S27" s="134"/>
      <c r="T27" s="134"/>
      <c r="U27" s="134"/>
      <c r="V27" s="134">
        <f>M27</f>
        <v>0.252</v>
      </c>
      <c r="W27" s="134"/>
      <c r="X27" s="140"/>
      <c r="Y27" s="136"/>
      <c r="Z27" s="134"/>
      <c r="AA27" s="134">
        <v>0.57499999999999996</v>
      </c>
      <c r="AB27" s="134"/>
      <c r="AC27" s="134"/>
      <c r="AD27" s="134"/>
      <c r="AE27" s="134"/>
      <c r="AF27" s="134"/>
      <c r="AG27" s="134"/>
      <c r="AH27" s="134"/>
      <c r="AI27" s="134"/>
      <c r="AJ27" s="140"/>
      <c r="AK27" s="137"/>
      <c r="AL27" s="134"/>
      <c r="AM27" s="134">
        <v>0.57499999999999996</v>
      </c>
      <c r="AN27" s="134"/>
      <c r="AO27" s="134"/>
      <c r="AP27" s="134"/>
      <c r="AQ27" s="134"/>
      <c r="AR27" s="134"/>
      <c r="AS27" s="134"/>
      <c r="AT27" s="134"/>
      <c r="AU27" s="134"/>
      <c r="AV27" s="140"/>
      <c r="AW27" s="137"/>
      <c r="AX27" s="31">
        <f t="shared" si="3"/>
        <v>0</v>
      </c>
      <c r="AY27" s="31"/>
      <c r="AZ27" s="109"/>
      <c r="BA27" s="62"/>
      <c r="BB27" s="62"/>
      <c r="BC27" s="62"/>
      <c r="BD27" s="62"/>
      <c r="BE27" s="110"/>
      <c r="BF27" s="109"/>
      <c r="BG27" s="62">
        <f>AY27</f>
        <v>0</v>
      </c>
      <c r="BH27" s="62"/>
      <c r="BI27" s="110"/>
      <c r="BJ27" s="426"/>
      <c r="BK27" s="427"/>
      <c r="BL27" s="428"/>
      <c r="BM27" s="109">
        <v>0.57499999999999996</v>
      </c>
      <c r="BN27" s="62"/>
      <c r="BO27" s="429"/>
      <c r="BP27" s="109"/>
      <c r="BQ27" s="62"/>
      <c r="BR27" s="62"/>
      <c r="BS27" s="430"/>
      <c r="BT27" s="109"/>
      <c r="BU27" s="62"/>
      <c r="BV27" s="62"/>
      <c r="BW27" s="430"/>
      <c r="BX27" s="431"/>
      <c r="BY27" s="432">
        <f>L27+BL27+BP27+BT27</f>
        <v>0</v>
      </c>
      <c r="BZ27" s="31">
        <f>M27+BM27+BQ27+BU27</f>
        <v>0.82699999999999996</v>
      </c>
      <c r="CA27" s="109">
        <f>BZ27-BY27</f>
        <v>0.82699999999999996</v>
      </c>
      <c r="CB27" s="433">
        <v>0</v>
      </c>
      <c r="CC27" s="72">
        <f>BZ27-E27</f>
        <v>0.82699999999999996</v>
      </c>
      <c r="CD27" s="434"/>
      <c r="CE27" s="62">
        <v>4.97</v>
      </c>
      <c r="CF27" s="110"/>
      <c r="CG27" s="406"/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6"/>
      <c r="DA27" s="31"/>
      <c r="DB27" s="31"/>
      <c r="DC27" s="31"/>
      <c r="DD27" s="31"/>
      <c r="DE27" s="31"/>
      <c r="DF27" s="31"/>
      <c r="DG27" s="134"/>
      <c r="DI27" s="826"/>
      <c r="DJ27" s="788"/>
    </row>
    <row r="28" spans="1:114" s="783" customFormat="1" ht="12" customHeight="1">
      <c r="A28" s="152">
        <v>2</v>
      </c>
      <c r="B28" s="153" t="s">
        <v>105</v>
      </c>
      <c r="C28" s="832" t="s">
        <v>54</v>
      </c>
      <c r="D28" s="117">
        <f>SUM(D29:D38)</f>
        <v>45145.58</v>
      </c>
      <c r="E28" s="117">
        <f>SUM(E29:E38)</f>
        <v>46973</v>
      </c>
      <c r="F28" s="117">
        <f>SUM(F29:F38)</f>
        <v>47839.39</v>
      </c>
      <c r="G28" s="117">
        <f>SUM(G29:G38)</f>
        <v>47839.39</v>
      </c>
      <c r="H28" s="117">
        <f t="shared" ref="H28:M28" si="4">SUM(H29:H38)</f>
        <v>19737</v>
      </c>
      <c r="I28" s="117">
        <f t="shared" si="4"/>
        <v>12770</v>
      </c>
      <c r="J28" s="117">
        <f t="shared" si="4"/>
        <v>3230</v>
      </c>
      <c r="K28" s="117">
        <f t="shared" si="4"/>
        <v>9540</v>
      </c>
      <c r="L28" s="117">
        <f t="shared" si="4"/>
        <v>3679.8824999999997</v>
      </c>
      <c r="M28" s="117">
        <f t="shared" si="4"/>
        <v>2722.8766700000006</v>
      </c>
      <c r="N28" s="117">
        <f>N29</f>
        <v>1644.75</v>
      </c>
      <c r="O28" s="117">
        <f>SUM(O29:O38)</f>
        <v>1528.243326</v>
      </c>
      <c r="P28" s="117">
        <f>SUM(P29:P38)</f>
        <v>0</v>
      </c>
      <c r="Q28" s="117">
        <f>SUM(Q29:Q38)</f>
        <v>0</v>
      </c>
      <c r="R28" s="117">
        <f>R30</f>
        <v>269.16666666666669</v>
      </c>
      <c r="S28" s="117">
        <f>SUM(S29:S38)</f>
        <v>233.61555100000001</v>
      </c>
      <c r="T28" s="117">
        <f>T30</f>
        <v>795</v>
      </c>
      <c r="U28" s="117">
        <f t="shared" ref="U28:AA28" si="5">SUM(U29:U38)</f>
        <v>673.68110299999989</v>
      </c>
      <c r="V28" s="117">
        <f t="shared" si="5"/>
        <v>117.252</v>
      </c>
      <c r="W28" s="117">
        <f t="shared" si="5"/>
        <v>170.09</v>
      </c>
      <c r="X28" s="117">
        <f t="shared" si="5"/>
        <v>-141.81999999999994</v>
      </c>
      <c r="Y28" s="119">
        <f t="shared" si="5"/>
        <v>0.9137741298069616</v>
      </c>
      <c r="Z28" s="117">
        <f t="shared" si="5"/>
        <v>2708.92</v>
      </c>
      <c r="AA28" s="117">
        <f t="shared" si="5"/>
        <v>2720.1336100000003</v>
      </c>
      <c r="AB28" s="117">
        <f>AB29</f>
        <v>1644.75</v>
      </c>
      <c r="AC28" s="117">
        <f>AC29</f>
        <v>0</v>
      </c>
      <c r="AD28" s="117">
        <f>AD30</f>
        <v>269.17</v>
      </c>
      <c r="AE28" s="117">
        <f>AE30</f>
        <v>0</v>
      </c>
      <c r="AF28" s="117">
        <f>AF30</f>
        <v>795</v>
      </c>
      <c r="AG28" s="117">
        <f>AG30</f>
        <v>0</v>
      </c>
      <c r="AH28" s="117">
        <f t="shared" ref="AH28:AM28" si="6">SUM(AH29:AH38)</f>
        <v>0</v>
      </c>
      <c r="AI28" s="117">
        <f t="shared" si="6"/>
        <v>0</v>
      </c>
      <c r="AJ28" s="117">
        <f t="shared" si="6"/>
        <v>-1644.75</v>
      </c>
      <c r="AK28" s="120">
        <f t="shared" si="6"/>
        <v>0</v>
      </c>
      <c r="AL28" s="117">
        <f t="shared" si="6"/>
        <v>2708.92</v>
      </c>
      <c r="AM28" s="117">
        <f t="shared" si="6"/>
        <v>2720.1336100000003</v>
      </c>
      <c r="AN28" s="117">
        <f>AN29</f>
        <v>1644.75</v>
      </c>
      <c r="AO28" s="117">
        <f>AO29</f>
        <v>0</v>
      </c>
      <c r="AP28" s="117">
        <f>AP30</f>
        <v>269.17</v>
      </c>
      <c r="AQ28" s="117">
        <f>AQ30</f>
        <v>0</v>
      </c>
      <c r="AR28" s="117">
        <f>AR30</f>
        <v>795</v>
      </c>
      <c r="AS28" s="117">
        <f>AS30</f>
        <v>0</v>
      </c>
      <c r="AT28" s="117">
        <f t="shared" ref="AT28:AY28" si="7">SUM(AT29:AT38)</f>
        <v>0</v>
      </c>
      <c r="AU28" s="117">
        <f t="shared" si="7"/>
        <v>0</v>
      </c>
      <c r="AV28" s="117">
        <f t="shared" si="7"/>
        <v>-1644.75</v>
      </c>
      <c r="AW28" s="120">
        <f t="shared" si="7"/>
        <v>0</v>
      </c>
      <c r="AX28" s="117">
        <f t="shared" si="7"/>
        <v>23919.695</v>
      </c>
      <c r="AY28" s="117">
        <f t="shared" si="7"/>
        <v>38875.15</v>
      </c>
      <c r="AZ28" s="121"/>
      <c r="BA28" s="122">
        <f>SUM(BA29:BA38)</f>
        <v>22937.53</v>
      </c>
      <c r="BB28" s="122">
        <f>BB30</f>
        <v>3192.5</v>
      </c>
      <c r="BC28" s="122">
        <f>BC30</f>
        <v>13358.66</v>
      </c>
      <c r="BD28" s="122">
        <f>BD30</f>
        <v>0</v>
      </c>
      <c r="BE28" s="123">
        <f>SUM(BE29:BE38)</f>
        <v>2578.96</v>
      </c>
      <c r="BF28" s="121">
        <f>SUM(BF29:BF38)</f>
        <v>0</v>
      </c>
      <c r="BG28" s="122">
        <f>SUM(BG29:BG38)</f>
        <v>0</v>
      </c>
      <c r="BH28" s="122">
        <f>SUM(BH29:BH38)</f>
        <v>0</v>
      </c>
      <c r="BI28" s="123">
        <f>SUM(BI29:BI38)</f>
        <v>0</v>
      </c>
      <c r="BJ28" s="288">
        <f>BA28-AZ28</f>
        <v>22937.53</v>
      </c>
      <c r="BK28" s="413" t="e">
        <f>SUM(BK29:BK38)</f>
        <v>#DIV/0!</v>
      </c>
      <c r="BL28" s="408"/>
      <c r="BM28" s="121">
        <f>SUM(BM29:BM38)</f>
        <v>2720.1355100000005</v>
      </c>
      <c r="BN28" s="122"/>
      <c r="BO28" s="409"/>
      <c r="BP28" s="121"/>
      <c r="BQ28" s="122"/>
      <c r="BR28" s="122"/>
      <c r="BS28" s="410"/>
      <c r="BT28" s="121"/>
      <c r="BU28" s="122"/>
      <c r="BV28" s="122"/>
      <c r="BW28" s="410"/>
      <c r="BX28" s="411">
        <f>BX29+BX30</f>
        <v>23075.739999999998</v>
      </c>
      <c r="BY28" s="412">
        <f>SUM(BY29:BY38)</f>
        <v>3679.8824999999997</v>
      </c>
      <c r="BZ28" s="117">
        <f>SUM(BZ29:BZ38)</f>
        <v>5769.9029300000002</v>
      </c>
      <c r="CA28" s="121">
        <f>BZ28-BY28</f>
        <v>2090.0204300000005</v>
      </c>
      <c r="CB28" s="413">
        <f>BZ28/BY28</f>
        <v>1.5679584687826311</v>
      </c>
      <c r="CC28" s="444">
        <f>BZ28-E28</f>
        <v>-41203.097070000003</v>
      </c>
      <c r="CD28" s="415">
        <f>SUM(CD29:CD38)</f>
        <v>28768.18</v>
      </c>
      <c r="CE28" s="122">
        <f>SUM(CE29:CE38)</f>
        <v>2083.29</v>
      </c>
      <c r="CF28" s="123">
        <f>SUM(CF29:CF38)</f>
        <v>2376.7600000000002</v>
      </c>
      <c r="CG28" s="416"/>
      <c r="CH28" s="416"/>
      <c r="CI28" s="416"/>
      <c r="CJ28" s="416"/>
      <c r="CK28" s="416"/>
      <c r="CL28" s="416"/>
      <c r="CM28" s="416"/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416"/>
      <c r="CZ28" s="416"/>
      <c r="DA28" s="117">
        <f t="shared" ref="DA28:DG28" si="8">SUM(DA29:DA38)</f>
        <v>46973.000000000007</v>
      </c>
      <c r="DB28" s="117">
        <f t="shared" si="8"/>
        <v>50193.39</v>
      </c>
      <c r="DC28" s="117">
        <f t="shared" si="8"/>
        <v>48278.400000000009</v>
      </c>
      <c r="DD28" s="117">
        <f t="shared" si="8"/>
        <v>42124.289999999994</v>
      </c>
      <c r="DE28" s="117">
        <f t="shared" si="8"/>
        <v>49010.28</v>
      </c>
      <c r="DF28" s="117">
        <f t="shared" si="8"/>
        <v>24139.200000000004</v>
      </c>
      <c r="DG28" s="117">
        <f t="shared" si="8"/>
        <v>24871.08</v>
      </c>
      <c r="DI28" s="826"/>
      <c r="DJ28" s="788"/>
    </row>
    <row r="29" spans="1:114" s="783" customFormat="1">
      <c r="A29" s="124"/>
      <c r="B29" s="125" t="s">
        <v>87</v>
      </c>
      <c r="C29" s="827" t="s">
        <v>54</v>
      </c>
      <c r="D29" s="78">
        <v>33265.160000000003</v>
      </c>
      <c r="E29" s="78">
        <v>28547.599999999999</v>
      </c>
      <c r="F29" s="78">
        <v>28547.599999999999</v>
      </c>
      <c r="G29" s="78">
        <v>28547.599999999999</v>
      </c>
      <c r="H29" s="3">
        <v>19737</v>
      </c>
      <c r="I29" s="3"/>
      <c r="J29" s="3"/>
      <c r="K29" s="3"/>
      <c r="L29" s="3">
        <f>G29/12</f>
        <v>2378.9666666666667</v>
      </c>
      <c r="M29" s="3">
        <v>1502.92598</v>
      </c>
      <c r="N29" s="3">
        <f>H29/12</f>
        <v>1644.75</v>
      </c>
      <c r="O29" s="3">
        <v>1502.93</v>
      </c>
      <c r="P29" s="3"/>
      <c r="Q29" s="3"/>
      <c r="R29" s="3"/>
      <c r="S29" s="3"/>
      <c r="T29" s="3"/>
      <c r="U29" s="3"/>
      <c r="V29" s="3"/>
      <c r="W29" s="3"/>
      <c r="X29" s="3">
        <f>O29-N29</f>
        <v>-141.81999999999994</v>
      </c>
      <c r="Y29" s="5">
        <f>O29/N29</f>
        <v>0.9137741298069616</v>
      </c>
      <c r="Z29" s="3">
        <v>1644.75</v>
      </c>
      <c r="AA29" s="3">
        <v>1483.6561300000001</v>
      </c>
      <c r="AB29" s="3">
        <v>1644.75</v>
      </c>
      <c r="AC29" s="3"/>
      <c r="AD29" s="3"/>
      <c r="AE29" s="3"/>
      <c r="AF29" s="3"/>
      <c r="AG29" s="3"/>
      <c r="AH29" s="3"/>
      <c r="AI29" s="3"/>
      <c r="AJ29" s="3">
        <f>AC29-AB29</f>
        <v>-1644.75</v>
      </c>
      <c r="AK29" s="6">
        <f>AC29/AB29</f>
        <v>0</v>
      </c>
      <c r="AL29" s="3">
        <v>1644.75</v>
      </c>
      <c r="AM29" s="3">
        <v>1483.6561300000001</v>
      </c>
      <c r="AN29" s="3">
        <v>1644.75</v>
      </c>
      <c r="AO29" s="3"/>
      <c r="AP29" s="3"/>
      <c r="AQ29" s="3"/>
      <c r="AR29" s="3"/>
      <c r="AS29" s="3"/>
      <c r="AT29" s="3"/>
      <c r="AU29" s="3"/>
      <c r="AV29" s="3">
        <f>AO29-AN29</f>
        <v>-1644.75</v>
      </c>
      <c r="AW29" s="6">
        <f>AO29/AN29</f>
        <v>0</v>
      </c>
      <c r="AX29" s="154">
        <f>G29/2</f>
        <v>14273.8</v>
      </c>
      <c r="AY29" s="33">
        <v>22937.53</v>
      </c>
      <c r="AZ29" s="102"/>
      <c r="BA29" s="103">
        <f>AY29</f>
        <v>22937.53</v>
      </c>
      <c r="BB29" s="103"/>
      <c r="BC29" s="103"/>
      <c r="BD29" s="103"/>
      <c r="BE29" s="104"/>
      <c r="BF29" s="102"/>
      <c r="BG29" s="103"/>
      <c r="BH29" s="103"/>
      <c r="BI29" s="104"/>
      <c r="BJ29" s="417">
        <f>BA29-AZ29</f>
        <v>22937.53</v>
      </c>
      <c r="BK29" s="418" t="e">
        <f>BA29/AZ29</f>
        <v>#DIV/0!</v>
      </c>
      <c r="BL29" s="419"/>
      <c r="BM29" s="102">
        <v>1483.6561300000001</v>
      </c>
      <c r="BN29" s="103"/>
      <c r="BO29" s="420"/>
      <c r="BP29" s="102"/>
      <c r="BQ29" s="103"/>
      <c r="BR29" s="103"/>
      <c r="BS29" s="421"/>
      <c r="BT29" s="102"/>
      <c r="BU29" s="103"/>
      <c r="BV29" s="103"/>
      <c r="BW29" s="421"/>
      <c r="BX29" s="422">
        <v>14729.36</v>
      </c>
      <c r="BY29" s="423">
        <f>L29+BL29+BP29+BT29</f>
        <v>2378.9666666666667</v>
      </c>
      <c r="BZ29" s="33">
        <f>M29+BM29+BQ29+BU29</f>
        <v>2986.5821100000003</v>
      </c>
      <c r="CA29" s="102">
        <f>BZ29-BY29</f>
        <v>607.61544333333359</v>
      </c>
      <c r="CB29" s="424">
        <f>BZ29/BY29</f>
        <v>1.2554114993904917</v>
      </c>
      <c r="CC29" s="93">
        <f>BZ29-E29</f>
        <v>-25561.017889999999</v>
      </c>
      <c r="CD29" s="425">
        <v>18016.63</v>
      </c>
      <c r="CE29" s="103"/>
      <c r="CF29" s="104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6"/>
      <c r="DA29" s="33">
        <f>DA21*428</f>
        <v>28547.600000000002</v>
      </c>
      <c r="DB29" s="33">
        <v>30901.599999999999</v>
      </c>
      <c r="DC29" s="78">
        <f>DC21*428</f>
        <v>30901.600000000002</v>
      </c>
      <c r="DD29" s="78">
        <f>24610.39+3296.2</f>
        <v>27906.59</v>
      </c>
      <c r="DE29" s="78">
        <f>DE21*428</f>
        <v>31633.48</v>
      </c>
      <c r="DF29" s="78">
        <f>DF21*428</f>
        <v>15450.800000000001</v>
      </c>
      <c r="DG29" s="78">
        <f>DG21*428</f>
        <v>16182.68</v>
      </c>
      <c r="DI29" s="826"/>
      <c r="DJ29" s="788"/>
    </row>
    <row r="30" spans="1:114" s="783" customFormat="1">
      <c r="A30" s="130"/>
      <c r="B30" s="131" t="s">
        <v>88</v>
      </c>
      <c r="C30" s="829" t="s">
        <v>54</v>
      </c>
      <c r="D30" s="31">
        <v>11880.42</v>
      </c>
      <c r="E30" s="31">
        <v>14744.6</v>
      </c>
      <c r="F30" s="31">
        <v>15610.99</v>
      </c>
      <c r="G30" s="31">
        <v>15610.99</v>
      </c>
      <c r="H30" s="134"/>
      <c r="I30" s="134">
        <v>12770</v>
      </c>
      <c r="J30" s="134">
        <v>3230</v>
      </c>
      <c r="K30" s="134">
        <v>9540</v>
      </c>
      <c r="L30" s="134">
        <f>G30/12</f>
        <v>1300.9158333333332</v>
      </c>
      <c r="M30" s="134">
        <v>856.66881000000001</v>
      </c>
      <c r="N30" s="134"/>
      <c r="O30" s="134"/>
      <c r="P30" s="134"/>
      <c r="Q30" s="134"/>
      <c r="R30" s="134">
        <f>J30/12</f>
        <v>269.16666666666669</v>
      </c>
      <c r="S30" s="134">
        <v>216.74</v>
      </c>
      <c r="T30" s="134">
        <f>K30/12</f>
        <v>795</v>
      </c>
      <c r="U30" s="134">
        <v>639.92999999999995</v>
      </c>
      <c r="V30" s="134"/>
      <c r="W30" s="134"/>
      <c r="X30" s="134"/>
      <c r="Y30" s="155"/>
      <c r="Z30" s="134">
        <v>1064.17</v>
      </c>
      <c r="AA30" s="134">
        <v>795.03348000000005</v>
      </c>
      <c r="AB30" s="134"/>
      <c r="AC30" s="134"/>
      <c r="AD30" s="134">
        <v>269.17</v>
      </c>
      <c r="AE30" s="134"/>
      <c r="AF30" s="134">
        <v>795</v>
      </c>
      <c r="AG30" s="134"/>
      <c r="AH30" s="134"/>
      <c r="AI30" s="134"/>
      <c r="AJ30" s="134"/>
      <c r="AK30" s="156"/>
      <c r="AL30" s="134">
        <v>1064.17</v>
      </c>
      <c r="AM30" s="134">
        <v>795.03348000000005</v>
      </c>
      <c r="AN30" s="134"/>
      <c r="AO30" s="134"/>
      <c r="AP30" s="134">
        <v>269.17</v>
      </c>
      <c r="AQ30" s="134"/>
      <c r="AR30" s="134">
        <v>795</v>
      </c>
      <c r="AS30" s="134"/>
      <c r="AT30" s="134"/>
      <c r="AU30" s="134"/>
      <c r="AV30" s="134"/>
      <c r="AW30" s="156"/>
      <c r="AX30" s="31">
        <f>G30/2</f>
        <v>7805.4949999999999</v>
      </c>
      <c r="AY30" s="31">
        <v>13358.66</v>
      </c>
      <c r="AZ30" s="109"/>
      <c r="BA30" s="62"/>
      <c r="BB30" s="62">
        <v>3192.5</v>
      </c>
      <c r="BC30" s="62">
        <f>AY30</f>
        <v>13358.66</v>
      </c>
      <c r="BD30" s="62"/>
      <c r="BE30" s="110"/>
      <c r="BF30" s="109"/>
      <c r="BG30" s="62"/>
      <c r="BH30" s="62"/>
      <c r="BI30" s="110"/>
      <c r="BJ30" s="426">
        <f>BC30-BB30</f>
        <v>10166.16</v>
      </c>
      <c r="BK30" s="427">
        <f>BC30/BB30</f>
        <v>4.1843884103367266</v>
      </c>
      <c r="BL30" s="428"/>
      <c r="BM30" s="109">
        <v>795.03348000000005</v>
      </c>
      <c r="BN30" s="62"/>
      <c r="BO30" s="429"/>
      <c r="BP30" s="109"/>
      <c r="BQ30" s="62"/>
      <c r="BR30" s="62"/>
      <c r="BS30" s="430"/>
      <c r="BT30" s="109"/>
      <c r="BU30" s="62"/>
      <c r="BV30" s="62"/>
      <c r="BW30" s="430"/>
      <c r="BX30" s="431">
        <v>8346.3799999999992</v>
      </c>
      <c r="BY30" s="432">
        <f>L30+BL30+BP30+BT30</f>
        <v>1300.9158333333332</v>
      </c>
      <c r="BZ30" s="31">
        <f>M30+BM30+BQ30+BU30</f>
        <v>1651.7022900000002</v>
      </c>
      <c r="CA30" s="109">
        <f>BZ30-BY30</f>
        <v>350.78645666666694</v>
      </c>
      <c r="CB30" s="433">
        <f>BZ30/BY30</f>
        <v>1.269645773906716</v>
      </c>
      <c r="CC30" s="72">
        <f>BZ30-E30</f>
        <v>-13092.897710000001</v>
      </c>
      <c r="CD30" s="434">
        <v>10363.08</v>
      </c>
      <c r="CE30" s="62"/>
      <c r="CF30" s="110"/>
      <c r="CG30" s="406"/>
      <c r="CH30" s="406"/>
      <c r="CI30" s="406"/>
      <c r="CJ30" s="406"/>
      <c r="CK30" s="406"/>
      <c r="CL30" s="406"/>
      <c r="CM30" s="406"/>
      <c r="CN30" s="406"/>
      <c r="CO30" s="406"/>
      <c r="CP30" s="406"/>
      <c r="CQ30" s="406"/>
      <c r="CR30" s="406"/>
      <c r="CS30" s="406"/>
      <c r="CT30" s="406"/>
      <c r="CU30" s="406"/>
      <c r="CV30" s="406"/>
      <c r="CW30" s="406"/>
      <c r="CX30" s="406"/>
      <c r="CY30" s="406"/>
      <c r="CZ30" s="406"/>
      <c r="DA30" s="31">
        <f>DA24*428</f>
        <v>14744.6</v>
      </c>
      <c r="DB30" s="31">
        <v>15610.99</v>
      </c>
      <c r="DC30" s="31">
        <f>DC24*428</f>
        <v>13696</v>
      </c>
      <c r="DD30" s="31">
        <v>12097.39</v>
      </c>
      <c r="DE30" s="31">
        <f t="shared" ref="DE30:DG31" si="9">DE24*428</f>
        <v>13696</v>
      </c>
      <c r="DF30" s="31">
        <f>DF24*428</f>
        <v>6848</v>
      </c>
      <c r="DG30" s="31">
        <f t="shared" si="9"/>
        <v>6848</v>
      </c>
      <c r="DI30" s="826"/>
      <c r="DJ30" s="788"/>
    </row>
    <row r="31" spans="1:114" s="783" customFormat="1">
      <c r="A31" s="130"/>
      <c r="B31" s="131" t="s">
        <v>294</v>
      </c>
      <c r="C31" s="829" t="s">
        <v>54</v>
      </c>
      <c r="D31" s="31">
        <v>0</v>
      </c>
      <c r="E31" s="31">
        <v>3680.8</v>
      </c>
      <c r="F31" s="31">
        <v>3680.8</v>
      </c>
      <c r="G31" s="31">
        <v>3680.8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55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56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56"/>
      <c r="AX31" s="31">
        <f>G31/2</f>
        <v>1840.4</v>
      </c>
      <c r="AY31" s="31">
        <f>1241.46+1337.5</f>
        <v>2578.96</v>
      </c>
      <c r="AZ31" s="109"/>
      <c r="BA31" s="62"/>
      <c r="BB31" s="62"/>
      <c r="BC31" s="62"/>
      <c r="BD31" s="62">
        <v>0</v>
      </c>
      <c r="BE31" s="110">
        <f>AY31</f>
        <v>2578.96</v>
      </c>
      <c r="BF31" s="109"/>
      <c r="BG31" s="62"/>
      <c r="BH31" s="62"/>
      <c r="BI31" s="110"/>
      <c r="BJ31" s="426"/>
      <c r="BK31" s="427"/>
      <c r="BL31" s="428"/>
      <c r="BM31" s="109"/>
      <c r="BN31" s="62"/>
      <c r="BO31" s="429"/>
      <c r="BP31" s="109"/>
      <c r="BQ31" s="62"/>
      <c r="BR31" s="62"/>
      <c r="BS31" s="430"/>
      <c r="BT31" s="109"/>
      <c r="BU31" s="62"/>
      <c r="BV31" s="62"/>
      <c r="BW31" s="430"/>
      <c r="BX31" s="431"/>
      <c r="BY31" s="432"/>
      <c r="BZ31" s="31"/>
      <c r="CA31" s="109"/>
      <c r="CB31" s="433"/>
      <c r="CC31" s="72"/>
      <c r="CD31" s="434"/>
      <c r="CE31" s="62"/>
      <c r="CF31" s="110"/>
      <c r="CG31" s="406"/>
      <c r="CH31" s="406"/>
      <c r="CI31" s="406"/>
      <c r="CJ31" s="406"/>
      <c r="CK31" s="406"/>
      <c r="CL31" s="406"/>
      <c r="CM31" s="406"/>
      <c r="CN31" s="406"/>
      <c r="CO31" s="406"/>
      <c r="CP31" s="406"/>
      <c r="CQ31" s="406"/>
      <c r="CR31" s="406"/>
      <c r="CS31" s="406"/>
      <c r="CT31" s="406"/>
      <c r="CU31" s="406"/>
      <c r="CV31" s="406"/>
      <c r="CW31" s="406"/>
      <c r="CX31" s="406"/>
      <c r="CY31" s="406"/>
      <c r="CZ31" s="406"/>
      <c r="DA31" s="31">
        <f>DA25*428</f>
        <v>3680.7999999999997</v>
      </c>
      <c r="DB31" s="31">
        <f>DB25*428</f>
        <v>3680.7999999999997</v>
      </c>
      <c r="DC31" s="31">
        <f>DC25*428</f>
        <v>3680.7999999999997</v>
      </c>
      <c r="DD31" s="31">
        <v>2120.31</v>
      </c>
      <c r="DE31" s="31">
        <f t="shared" si="9"/>
        <v>3680.7999999999997</v>
      </c>
      <c r="DF31" s="31">
        <f>DF25*428</f>
        <v>1840.3999999999999</v>
      </c>
      <c r="DG31" s="31">
        <f t="shared" si="9"/>
        <v>1840.3999999999999</v>
      </c>
      <c r="DI31" s="826"/>
      <c r="DJ31" s="788"/>
    </row>
    <row r="32" spans="1:114" s="783" customFormat="1" ht="24" hidden="1" customHeight="1">
      <c r="A32" s="130"/>
      <c r="B32" s="142" t="s">
        <v>155</v>
      </c>
      <c r="C32" s="829" t="s">
        <v>54</v>
      </c>
      <c r="D32" s="31"/>
      <c r="E32" s="31"/>
      <c r="F32" s="31"/>
      <c r="G32" s="31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55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56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56"/>
      <c r="AX32" s="31"/>
      <c r="AY32" s="31"/>
      <c r="AZ32" s="109"/>
      <c r="BA32" s="62"/>
      <c r="BB32" s="62"/>
      <c r="BC32" s="62"/>
      <c r="BD32" s="62"/>
      <c r="BE32" s="110"/>
      <c r="BF32" s="109">
        <f>AY32</f>
        <v>0</v>
      </c>
      <c r="BG32" s="62"/>
      <c r="BH32" s="62"/>
      <c r="BI32" s="110"/>
      <c r="BJ32" s="426"/>
      <c r="BK32" s="427"/>
      <c r="BL32" s="428"/>
      <c r="BM32" s="109"/>
      <c r="BN32" s="62"/>
      <c r="BO32" s="429"/>
      <c r="BP32" s="109"/>
      <c r="BQ32" s="62"/>
      <c r="BR32" s="62"/>
      <c r="BS32" s="430"/>
      <c r="BT32" s="109"/>
      <c r="BU32" s="62"/>
      <c r="BV32" s="62"/>
      <c r="BW32" s="430"/>
      <c r="BX32" s="431"/>
      <c r="BY32" s="432"/>
      <c r="BZ32" s="31"/>
      <c r="CA32" s="109"/>
      <c r="CB32" s="433"/>
      <c r="CC32" s="72"/>
      <c r="CD32" s="434"/>
      <c r="CE32" s="62"/>
      <c r="CF32" s="110"/>
      <c r="CG32" s="406"/>
      <c r="CH32" s="406"/>
      <c r="CI32" s="406"/>
      <c r="CJ32" s="406"/>
      <c r="CK32" s="406"/>
      <c r="CL32" s="406"/>
      <c r="CM32" s="406"/>
      <c r="CN32" s="406"/>
      <c r="CO32" s="406"/>
      <c r="CP32" s="406"/>
      <c r="CQ32" s="406"/>
      <c r="CR32" s="406"/>
      <c r="CS32" s="406"/>
      <c r="CT32" s="406"/>
      <c r="CU32" s="406"/>
      <c r="CV32" s="406"/>
      <c r="CW32" s="406"/>
      <c r="CX32" s="406"/>
      <c r="CY32" s="406"/>
      <c r="CZ32" s="406"/>
      <c r="DA32" s="31"/>
      <c r="DB32" s="31"/>
      <c r="DC32" s="31"/>
      <c r="DD32" s="31"/>
      <c r="DE32" s="31"/>
      <c r="DF32" s="31"/>
      <c r="DG32" s="134"/>
      <c r="DI32" s="826"/>
      <c r="DJ32" s="788"/>
    </row>
    <row r="33" spans="1:114" s="783" customFormat="1" ht="12" hidden="1" customHeight="1">
      <c r="A33" s="130"/>
      <c r="B33" s="131" t="s">
        <v>204</v>
      </c>
      <c r="C33" s="829" t="s">
        <v>54</v>
      </c>
      <c r="D33" s="31"/>
      <c r="E33" s="31"/>
      <c r="F33" s="31"/>
      <c r="G33" s="31"/>
      <c r="H33" s="134"/>
      <c r="I33" s="134"/>
      <c r="J33" s="134"/>
      <c r="K33" s="134"/>
      <c r="L33" s="134">
        <v>0</v>
      </c>
      <c r="M33" s="134">
        <v>89.251999999999995</v>
      </c>
      <c r="N33" s="134"/>
      <c r="O33" s="134"/>
      <c r="P33" s="134"/>
      <c r="Q33" s="134"/>
      <c r="R33" s="134"/>
      <c r="S33" s="134"/>
      <c r="T33" s="134"/>
      <c r="U33" s="134"/>
      <c r="V33" s="134">
        <v>89.251999999999995</v>
      </c>
      <c r="W33" s="134"/>
      <c r="X33" s="134"/>
      <c r="Y33" s="155"/>
      <c r="Z33" s="134">
        <v>0</v>
      </c>
      <c r="AA33" s="134">
        <v>178.03458000000001</v>
      </c>
      <c r="AB33" s="134"/>
      <c r="AC33" s="134"/>
      <c r="AD33" s="134"/>
      <c r="AE33" s="134"/>
      <c r="AF33" s="134"/>
      <c r="AG33" s="134"/>
      <c r="AH33" s="134"/>
      <c r="AI33" s="134"/>
      <c r="AJ33" s="134"/>
      <c r="AK33" s="156"/>
      <c r="AL33" s="134">
        <v>0</v>
      </c>
      <c r="AM33" s="134">
        <v>178.03458000000001</v>
      </c>
      <c r="AN33" s="134"/>
      <c r="AO33" s="134"/>
      <c r="AP33" s="134"/>
      <c r="AQ33" s="134"/>
      <c r="AR33" s="134"/>
      <c r="AS33" s="134"/>
      <c r="AT33" s="134"/>
      <c r="AU33" s="134"/>
      <c r="AV33" s="134"/>
      <c r="AW33" s="156"/>
      <c r="AX33" s="31"/>
      <c r="AY33" s="31"/>
      <c r="AZ33" s="109"/>
      <c r="BA33" s="62"/>
      <c r="BB33" s="62"/>
      <c r="BC33" s="62"/>
      <c r="BD33" s="62"/>
      <c r="BE33" s="110"/>
      <c r="BF33" s="109"/>
      <c r="BG33" s="62">
        <f>AY33</f>
        <v>0</v>
      </c>
      <c r="BH33" s="62"/>
      <c r="BI33" s="110"/>
      <c r="BJ33" s="426"/>
      <c r="BK33" s="427"/>
      <c r="BL33" s="428"/>
      <c r="BM33" s="109">
        <v>178.03458000000001</v>
      </c>
      <c r="BN33" s="62"/>
      <c r="BO33" s="429"/>
      <c r="BP33" s="109"/>
      <c r="BQ33" s="62"/>
      <c r="BR33" s="62"/>
      <c r="BS33" s="430"/>
      <c r="BT33" s="109"/>
      <c r="BU33" s="62"/>
      <c r="BV33" s="62"/>
      <c r="BW33" s="430"/>
      <c r="BX33" s="431"/>
      <c r="BY33" s="432">
        <v>0</v>
      </c>
      <c r="BZ33" s="31">
        <f>M33+BM33+BQ33+BU33</f>
        <v>267.28658000000001</v>
      </c>
      <c r="CA33" s="109">
        <f>BZ33-BY33</f>
        <v>267.28658000000001</v>
      </c>
      <c r="CB33" s="433">
        <v>0</v>
      </c>
      <c r="CC33" s="72">
        <f>BZ33-E33</f>
        <v>267.28658000000001</v>
      </c>
      <c r="CD33" s="434"/>
      <c r="CE33" s="62">
        <v>1597.61</v>
      </c>
      <c r="CF33" s="110"/>
      <c r="CG33" s="406"/>
      <c r="CH33" s="406"/>
      <c r="CI33" s="406"/>
      <c r="CJ33" s="406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31"/>
      <c r="DB33" s="31"/>
      <c r="DC33" s="31"/>
      <c r="DD33" s="31"/>
      <c r="DE33" s="31"/>
      <c r="DF33" s="31"/>
      <c r="DG33" s="134"/>
      <c r="DI33" s="826"/>
      <c r="DJ33" s="788"/>
    </row>
    <row r="34" spans="1:114" s="783" customFormat="1" ht="12" hidden="1" customHeight="1">
      <c r="A34" s="130"/>
      <c r="B34" s="131" t="s">
        <v>91</v>
      </c>
      <c r="C34" s="829" t="s">
        <v>54</v>
      </c>
      <c r="D34" s="31"/>
      <c r="E34" s="31"/>
      <c r="F34" s="31"/>
      <c r="G34" s="31"/>
      <c r="H34" s="134"/>
      <c r="I34" s="134"/>
      <c r="J34" s="134"/>
      <c r="K34" s="134"/>
      <c r="L34" s="134"/>
      <c r="M34" s="134">
        <v>28.001899999999999</v>
      </c>
      <c r="N34" s="134"/>
      <c r="O34" s="134"/>
      <c r="P34" s="134"/>
      <c r="Q34" s="134"/>
      <c r="R34" s="134"/>
      <c r="S34" s="134"/>
      <c r="T34" s="134"/>
      <c r="U34" s="134"/>
      <c r="V34" s="134">
        <v>28</v>
      </c>
      <c r="W34" s="134"/>
      <c r="X34" s="134"/>
      <c r="Y34" s="155"/>
      <c r="Z34" s="134"/>
      <c r="AA34" s="134">
        <v>28</v>
      </c>
      <c r="AB34" s="134"/>
      <c r="AC34" s="134"/>
      <c r="AD34" s="134"/>
      <c r="AE34" s="134"/>
      <c r="AF34" s="134"/>
      <c r="AG34" s="134"/>
      <c r="AH34" s="134"/>
      <c r="AI34" s="134"/>
      <c r="AJ34" s="134"/>
      <c r="AK34" s="156"/>
      <c r="AL34" s="134"/>
      <c r="AM34" s="134">
        <v>28</v>
      </c>
      <c r="AN34" s="134"/>
      <c r="AO34" s="134"/>
      <c r="AP34" s="134"/>
      <c r="AQ34" s="134"/>
      <c r="AR34" s="134"/>
      <c r="AS34" s="134"/>
      <c r="AT34" s="134"/>
      <c r="AU34" s="134"/>
      <c r="AV34" s="134"/>
      <c r="AW34" s="156"/>
      <c r="AX34" s="31"/>
      <c r="AY34" s="31"/>
      <c r="AZ34" s="109"/>
      <c r="BA34" s="62"/>
      <c r="BB34" s="62"/>
      <c r="BC34" s="62"/>
      <c r="BD34" s="62"/>
      <c r="BE34" s="110"/>
      <c r="BF34" s="109"/>
      <c r="BG34" s="62">
        <f>AY34</f>
        <v>0</v>
      </c>
      <c r="BH34" s="62"/>
      <c r="BI34" s="110"/>
      <c r="BJ34" s="426"/>
      <c r="BK34" s="427"/>
      <c r="BL34" s="428"/>
      <c r="BM34" s="109">
        <v>28.001899999999999</v>
      </c>
      <c r="BN34" s="62"/>
      <c r="BO34" s="429"/>
      <c r="BP34" s="109"/>
      <c r="BQ34" s="62"/>
      <c r="BR34" s="62"/>
      <c r="BS34" s="430"/>
      <c r="BT34" s="109"/>
      <c r="BU34" s="62"/>
      <c r="BV34" s="62"/>
      <c r="BW34" s="430"/>
      <c r="BX34" s="431"/>
      <c r="BY34" s="432">
        <v>0</v>
      </c>
      <c r="BZ34" s="31">
        <f>M34+BM34+BQ34+BU34</f>
        <v>56.003799999999998</v>
      </c>
      <c r="CA34" s="109">
        <f>BZ34-BY34</f>
        <v>56.003799999999998</v>
      </c>
      <c r="CB34" s="433">
        <v>0</v>
      </c>
      <c r="CC34" s="72">
        <f>BZ34-E34</f>
        <v>56.003799999999998</v>
      </c>
      <c r="CD34" s="434"/>
      <c r="CE34" s="62">
        <v>429.71</v>
      </c>
      <c r="CF34" s="110"/>
      <c r="CG34" s="406"/>
      <c r="CH34" s="406"/>
      <c r="CI34" s="406"/>
      <c r="CJ34" s="406"/>
      <c r="CK34" s="406"/>
      <c r="CL34" s="406" t="s">
        <v>80</v>
      </c>
      <c r="CM34" s="406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6"/>
      <c r="DA34" s="31"/>
      <c r="DB34" s="31"/>
      <c r="DC34" s="31"/>
      <c r="DD34" s="31"/>
      <c r="DE34" s="31"/>
      <c r="DF34" s="31"/>
      <c r="DG34" s="134"/>
      <c r="DI34" s="826"/>
      <c r="DJ34" s="788"/>
    </row>
    <row r="35" spans="1:114" s="783" customFormat="1" ht="12" hidden="1" customHeight="1">
      <c r="A35" s="130"/>
      <c r="B35" s="131" t="s">
        <v>137</v>
      </c>
      <c r="C35" s="829" t="s">
        <v>54</v>
      </c>
      <c r="D35" s="31"/>
      <c r="E35" s="31"/>
      <c r="F35" s="31"/>
      <c r="G35" s="31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55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56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56"/>
      <c r="AX35" s="31"/>
      <c r="AY35" s="31"/>
      <c r="AZ35" s="109"/>
      <c r="BA35" s="62"/>
      <c r="BB35" s="62"/>
      <c r="BC35" s="62"/>
      <c r="BD35" s="62"/>
      <c r="BE35" s="110"/>
      <c r="BF35" s="109"/>
      <c r="BG35" s="62"/>
      <c r="BH35" s="62">
        <f>AY35</f>
        <v>0</v>
      </c>
      <c r="BI35" s="110"/>
      <c r="BJ35" s="426"/>
      <c r="BK35" s="427"/>
      <c r="BL35" s="428"/>
      <c r="BM35" s="109"/>
      <c r="BN35" s="62"/>
      <c r="BO35" s="429"/>
      <c r="BP35" s="109"/>
      <c r="BQ35" s="62"/>
      <c r="BR35" s="62"/>
      <c r="BS35" s="430"/>
      <c r="BT35" s="109"/>
      <c r="BU35" s="62"/>
      <c r="BV35" s="62"/>
      <c r="BW35" s="430"/>
      <c r="BX35" s="431"/>
      <c r="BY35" s="432"/>
      <c r="BZ35" s="31"/>
      <c r="CA35" s="109"/>
      <c r="CB35" s="433"/>
      <c r="CC35" s="72"/>
      <c r="CD35" s="434"/>
      <c r="CE35" s="62"/>
      <c r="CF35" s="110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6"/>
      <c r="CZ35" s="406"/>
      <c r="DA35" s="31"/>
      <c r="DB35" s="31"/>
      <c r="DC35" s="31"/>
      <c r="DD35" s="31"/>
      <c r="DE35" s="31"/>
      <c r="DF35" s="31"/>
      <c r="DG35" s="134"/>
      <c r="DI35" s="826"/>
      <c r="DJ35" s="788"/>
    </row>
    <row r="36" spans="1:114" s="783" customFormat="1" ht="12" hidden="1" customHeight="1">
      <c r="A36" s="130"/>
      <c r="B36" s="131" t="s">
        <v>110</v>
      </c>
      <c r="C36" s="829" t="s">
        <v>54</v>
      </c>
      <c r="D36" s="31"/>
      <c r="E36" s="31"/>
      <c r="F36" s="31"/>
      <c r="G36" s="31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55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56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56"/>
      <c r="AX36" s="31"/>
      <c r="AY36" s="31"/>
      <c r="AZ36" s="109"/>
      <c r="BA36" s="62"/>
      <c r="BB36" s="62"/>
      <c r="BC36" s="62"/>
      <c r="BD36" s="62"/>
      <c r="BE36" s="110"/>
      <c r="BF36" s="109"/>
      <c r="BG36" s="62"/>
      <c r="BH36" s="62">
        <f>AY36</f>
        <v>0</v>
      </c>
      <c r="BI36" s="110"/>
      <c r="BJ36" s="426"/>
      <c r="BK36" s="427"/>
      <c r="BL36" s="428"/>
      <c r="BM36" s="109"/>
      <c r="BN36" s="62"/>
      <c r="BO36" s="429"/>
      <c r="BP36" s="109"/>
      <c r="BQ36" s="62"/>
      <c r="BR36" s="62"/>
      <c r="BS36" s="430"/>
      <c r="BT36" s="109"/>
      <c r="BU36" s="62"/>
      <c r="BV36" s="62"/>
      <c r="BW36" s="430"/>
      <c r="BX36" s="431"/>
      <c r="BY36" s="432"/>
      <c r="BZ36" s="31"/>
      <c r="CA36" s="109"/>
      <c r="CB36" s="433"/>
      <c r="CC36" s="72"/>
      <c r="CD36" s="434"/>
      <c r="CE36" s="62"/>
      <c r="CF36" s="110"/>
      <c r="CG36" s="406"/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31"/>
      <c r="DB36" s="31"/>
      <c r="DC36" s="31"/>
      <c r="DD36" s="31"/>
      <c r="DE36" s="31"/>
      <c r="DF36" s="31"/>
      <c r="DG36" s="134"/>
      <c r="DI36" s="826"/>
      <c r="DJ36" s="788"/>
    </row>
    <row r="37" spans="1:114" s="783" customFormat="1" ht="12" hidden="1" customHeight="1">
      <c r="A37" s="141"/>
      <c r="B37" s="142" t="s">
        <v>109</v>
      </c>
      <c r="C37" s="831" t="s">
        <v>54</v>
      </c>
      <c r="D37" s="78"/>
      <c r="E37" s="78"/>
      <c r="F37" s="78"/>
      <c r="G37" s="78"/>
      <c r="H37" s="145"/>
      <c r="I37" s="145"/>
      <c r="J37" s="145"/>
      <c r="K37" s="145"/>
      <c r="L37" s="145"/>
      <c r="M37" s="145">
        <f>4.702+165.386</f>
        <v>170.08799999999999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>
        <v>170.09</v>
      </c>
      <c r="X37" s="145"/>
      <c r="Y37" s="157"/>
      <c r="Z37" s="145"/>
      <c r="AA37" s="145">
        <f>4.9371+188.86305</f>
        <v>193.80014999999997</v>
      </c>
      <c r="AB37" s="145"/>
      <c r="AC37" s="145"/>
      <c r="AD37" s="145"/>
      <c r="AE37" s="145"/>
      <c r="AF37" s="145"/>
      <c r="AG37" s="145"/>
      <c r="AH37" s="145"/>
      <c r="AI37" s="145"/>
      <c r="AJ37" s="145"/>
      <c r="AK37" s="158"/>
      <c r="AL37" s="145"/>
      <c r="AM37" s="145">
        <f>4.9371+188.86305</f>
        <v>193.80014999999997</v>
      </c>
      <c r="AN37" s="145"/>
      <c r="AO37" s="145"/>
      <c r="AP37" s="145"/>
      <c r="AQ37" s="145"/>
      <c r="AR37" s="145"/>
      <c r="AS37" s="145"/>
      <c r="AT37" s="145"/>
      <c r="AU37" s="145"/>
      <c r="AV37" s="145"/>
      <c r="AW37" s="158"/>
      <c r="AX37" s="144"/>
      <c r="AY37" s="144"/>
      <c r="AZ37" s="149"/>
      <c r="BA37" s="150"/>
      <c r="BB37" s="150"/>
      <c r="BC37" s="150"/>
      <c r="BD37" s="150"/>
      <c r="BE37" s="151"/>
      <c r="BF37" s="149"/>
      <c r="BG37" s="150"/>
      <c r="BH37" s="150">
        <f>AY37</f>
        <v>0</v>
      </c>
      <c r="BI37" s="151"/>
      <c r="BJ37" s="435"/>
      <c r="BK37" s="436"/>
      <c r="BL37" s="437"/>
      <c r="BM37" s="149">
        <f>4.9371+188.86305</f>
        <v>193.80014999999997</v>
      </c>
      <c r="BN37" s="150"/>
      <c r="BO37" s="438"/>
      <c r="BP37" s="149"/>
      <c r="BQ37" s="150"/>
      <c r="BR37" s="150"/>
      <c r="BS37" s="439"/>
      <c r="BT37" s="149"/>
      <c r="BU37" s="150"/>
      <c r="BV37" s="150"/>
      <c r="BW37" s="439"/>
      <c r="BX37" s="440"/>
      <c r="BY37" s="441">
        <v>0</v>
      </c>
      <c r="BZ37" s="144">
        <f>M37+BM37+BQ37+BU37</f>
        <v>363.88815</v>
      </c>
      <c r="CA37" s="149">
        <f>BZ37-BY37</f>
        <v>363.88815</v>
      </c>
      <c r="CB37" s="442">
        <v>0</v>
      </c>
      <c r="CC37" s="246">
        <f>BZ37-E37</f>
        <v>363.88815</v>
      </c>
      <c r="CD37" s="443"/>
      <c r="CE37" s="150"/>
      <c r="CF37" s="151">
        <v>2376.7600000000002</v>
      </c>
      <c r="CG37" s="406"/>
      <c r="CH37" s="406"/>
      <c r="CI37" s="406"/>
      <c r="CJ37" s="406"/>
      <c r="CK37" s="406"/>
      <c r="CL37" s="406"/>
      <c r="CM37" s="406"/>
      <c r="CN37" s="406"/>
      <c r="CO37" s="406"/>
      <c r="CP37" s="406"/>
      <c r="CQ37" s="406"/>
      <c r="CR37" s="406"/>
      <c r="CS37" s="406"/>
      <c r="CT37" s="406"/>
      <c r="CU37" s="406"/>
      <c r="CV37" s="406"/>
      <c r="CW37" s="406"/>
      <c r="CX37" s="406"/>
      <c r="CY37" s="406"/>
      <c r="CZ37" s="406"/>
      <c r="DA37" s="144"/>
      <c r="DB37" s="144"/>
      <c r="DC37" s="78"/>
      <c r="DD37" s="78"/>
      <c r="DE37" s="78"/>
      <c r="DF37" s="78"/>
      <c r="DG37" s="134"/>
      <c r="DI37" s="826"/>
      <c r="DJ37" s="788"/>
    </row>
    <row r="38" spans="1:114" s="783" customFormat="1" ht="12" hidden="1" customHeight="1">
      <c r="A38" s="130"/>
      <c r="B38" s="131" t="s">
        <v>338</v>
      </c>
      <c r="C38" s="829" t="s">
        <v>54</v>
      </c>
      <c r="D38" s="31"/>
      <c r="E38" s="31"/>
      <c r="F38" s="31"/>
      <c r="G38" s="31"/>
      <c r="H38" s="134"/>
      <c r="I38" s="134"/>
      <c r="J38" s="134"/>
      <c r="K38" s="134"/>
      <c r="L38" s="134">
        <v>0</v>
      </c>
      <c r="M38" s="134">
        <v>75.939980000000006</v>
      </c>
      <c r="N38" s="134"/>
      <c r="O38" s="134">
        <v>25.313326</v>
      </c>
      <c r="P38" s="134"/>
      <c r="Q38" s="134"/>
      <c r="R38" s="134"/>
      <c r="S38" s="134">
        <v>16.875551000000002</v>
      </c>
      <c r="T38" s="134"/>
      <c r="U38" s="134">
        <v>33.751103000000001</v>
      </c>
      <c r="V38" s="134"/>
      <c r="W38" s="134"/>
      <c r="X38" s="134"/>
      <c r="Y38" s="155"/>
      <c r="Z38" s="134">
        <v>0</v>
      </c>
      <c r="AA38" s="134">
        <v>41.609270000000002</v>
      </c>
      <c r="AB38" s="134"/>
      <c r="AC38" s="134"/>
      <c r="AD38" s="134"/>
      <c r="AE38" s="134"/>
      <c r="AF38" s="134"/>
      <c r="AG38" s="134"/>
      <c r="AH38" s="134"/>
      <c r="AI38" s="134"/>
      <c r="AJ38" s="134"/>
      <c r="AK38" s="156"/>
      <c r="AL38" s="134">
        <v>0</v>
      </c>
      <c r="AM38" s="134">
        <v>41.609270000000002</v>
      </c>
      <c r="AN38" s="134"/>
      <c r="AO38" s="134"/>
      <c r="AP38" s="134"/>
      <c r="AQ38" s="134"/>
      <c r="AR38" s="134"/>
      <c r="AS38" s="134"/>
      <c r="AT38" s="134"/>
      <c r="AU38" s="134"/>
      <c r="AV38" s="134"/>
      <c r="AW38" s="156"/>
      <c r="AX38" s="31"/>
      <c r="AY38" s="31"/>
      <c r="AZ38" s="109"/>
      <c r="BA38" s="62"/>
      <c r="BB38" s="62"/>
      <c r="BC38" s="62"/>
      <c r="BD38" s="62"/>
      <c r="BE38" s="110"/>
      <c r="BF38" s="109"/>
      <c r="BG38" s="62"/>
      <c r="BH38" s="62"/>
      <c r="BI38" s="110">
        <f>AY38</f>
        <v>0</v>
      </c>
      <c r="BJ38" s="426"/>
      <c r="BK38" s="427"/>
      <c r="BL38" s="428"/>
      <c r="BM38" s="109">
        <v>41.609270000000002</v>
      </c>
      <c r="BN38" s="62"/>
      <c r="BO38" s="429"/>
      <c r="BP38" s="109"/>
      <c r="BQ38" s="62"/>
      <c r="BR38" s="62"/>
      <c r="BS38" s="430"/>
      <c r="BT38" s="109"/>
      <c r="BU38" s="62"/>
      <c r="BV38" s="62"/>
      <c r="BW38" s="430"/>
      <c r="BX38" s="431"/>
      <c r="BY38" s="432">
        <v>0</v>
      </c>
      <c r="BZ38" s="31">
        <v>444.44</v>
      </c>
      <c r="CA38" s="109">
        <f>BZ38-BY38</f>
        <v>444.44</v>
      </c>
      <c r="CB38" s="433">
        <v>0</v>
      </c>
      <c r="CC38" s="72">
        <f>BZ38-E38</f>
        <v>444.44</v>
      </c>
      <c r="CD38" s="434">
        <f>BZ38-CE38</f>
        <v>388.47</v>
      </c>
      <c r="CE38" s="62">
        <v>55.97</v>
      </c>
      <c r="CF38" s="110"/>
      <c r="CG38" s="406"/>
      <c r="CH38" s="406"/>
      <c r="CI38" s="406"/>
      <c r="CJ38" s="406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31"/>
      <c r="DB38" s="31"/>
      <c r="DC38" s="31"/>
      <c r="DD38" s="31"/>
      <c r="DE38" s="31"/>
      <c r="DF38" s="31"/>
      <c r="DG38" s="134"/>
      <c r="DI38" s="826"/>
      <c r="DJ38" s="788"/>
    </row>
    <row r="39" spans="1:114" s="783" customFormat="1" ht="12" hidden="1" customHeight="1">
      <c r="A39" s="152">
        <v>3</v>
      </c>
      <c r="B39" s="153" t="s">
        <v>106</v>
      </c>
      <c r="C39" s="824" t="s">
        <v>54</v>
      </c>
      <c r="D39" s="117">
        <f>SUM(D40:D49)</f>
        <v>42996.6</v>
      </c>
      <c r="E39" s="117">
        <f>SUM(E40:E49)</f>
        <v>42996.6</v>
      </c>
      <c r="F39" s="117">
        <f>SUM(F40:F49)</f>
        <v>42996.6</v>
      </c>
      <c r="G39" s="117">
        <f>SUM(G40:G49)</f>
        <v>42996.6</v>
      </c>
      <c r="H39" s="117"/>
      <c r="I39" s="117"/>
      <c r="J39" s="117"/>
      <c r="K39" s="117"/>
      <c r="L39" s="117"/>
      <c r="M39" s="117">
        <f>SUM(M40:M49)</f>
        <v>1441.03098</v>
      </c>
      <c r="N39" s="117"/>
      <c r="O39" s="117">
        <f>SUM(O40:O49)</f>
        <v>927.74</v>
      </c>
      <c r="P39" s="117"/>
      <c r="Q39" s="117"/>
      <c r="R39" s="117"/>
      <c r="S39" s="117">
        <f>SUM(S40:S49)</f>
        <v>107.211</v>
      </c>
      <c r="T39" s="117"/>
      <c r="U39" s="117">
        <f>SUM(U40:U49)</f>
        <v>316.55</v>
      </c>
      <c r="V39" s="117">
        <f>SUM(V40:V49)</f>
        <v>89.53</v>
      </c>
      <c r="W39" s="117">
        <f>SUM(W40:W49)</f>
        <v>0</v>
      </c>
      <c r="X39" s="117"/>
      <c r="Y39" s="119"/>
      <c r="Z39" s="117"/>
      <c r="AA39" s="117">
        <f>SUM(AA40:AA49)</f>
        <v>0</v>
      </c>
      <c r="AB39" s="117"/>
      <c r="AC39" s="117"/>
      <c r="AD39" s="117"/>
      <c r="AE39" s="117"/>
      <c r="AF39" s="117"/>
      <c r="AG39" s="117"/>
      <c r="AH39" s="117"/>
      <c r="AI39" s="117"/>
      <c r="AJ39" s="117"/>
      <c r="AK39" s="120"/>
      <c r="AL39" s="117"/>
      <c r="AM39" s="117">
        <f>SUM(AM40:AM49)</f>
        <v>0</v>
      </c>
      <c r="AN39" s="117"/>
      <c r="AO39" s="117"/>
      <c r="AP39" s="117"/>
      <c r="AQ39" s="117"/>
      <c r="AR39" s="117"/>
      <c r="AS39" s="117"/>
      <c r="AT39" s="117"/>
      <c r="AU39" s="117"/>
      <c r="AV39" s="117"/>
      <c r="AW39" s="120"/>
      <c r="AX39" s="117">
        <f>SUM(AX40:AX49)</f>
        <v>21498.3</v>
      </c>
      <c r="AY39" s="117">
        <f>SUM(AY40:AY49)</f>
        <v>33015.550000000003</v>
      </c>
      <c r="AZ39" s="121"/>
      <c r="BA39" s="122">
        <f t="shared" ref="BA39:BI39" si="10">SUM(BA40:BA49)</f>
        <v>21245.19</v>
      </c>
      <c r="BB39" s="122">
        <f t="shared" si="10"/>
        <v>3192.5</v>
      </c>
      <c r="BC39" s="122">
        <f t="shared" si="10"/>
        <v>11770.36</v>
      </c>
      <c r="BD39" s="122">
        <f t="shared" si="10"/>
        <v>0</v>
      </c>
      <c r="BE39" s="123">
        <f t="shared" si="10"/>
        <v>0</v>
      </c>
      <c r="BF39" s="121">
        <f t="shared" si="10"/>
        <v>0</v>
      </c>
      <c r="BG39" s="122">
        <f t="shared" si="10"/>
        <v>0</v>
      </c>
      <c r="BH39" s="122">
        <f t="shared" si="10"/>
        <v>0</v>
      </c>
      <c r="BI39" s="123">
        <f t="shared" si="10"/>
        <v>0</v>
      </c>
      <c r="BJ39" s="288">
        <f>BA39-AZ39</f>
        <v>21245.19</v>
      </c>
      <c r="BK39" s="407"/>
      <c r="BL39" s="408"/>
      <c r="BM39" s="121">
        <f>SUM(BM40:BM49)</f>
        <v>0</v>
      </c>
      <c r="BN39" s="122"/>
      <c r="BO39" s="409"/>
      <c r="BP39" s="121"/>
      <c r="BQ39" s="122"/>
      <c r="BR39" s="122"/>
      <c r="BS39" s="410"/>
      <c r="BT39" s="121"/>
      <c r="BU39" s="122"/>
      <c r="BV39" s="122"/>
      <c r="BW39" s="410"/>
      <c r="BX39" s="411">
        <f>BX40+BX41</f>
        <v>23075.739999999998</v>
      </c>
      <c r="BY39" s="412">
        <f>SUM(BY40:BY49)</f>
        <v>0</v>
      </c>
      <c r="BZ39" s="117">
        <f>SUM(BZ40:BZ49)</f>
        <v>1441.03098</v>
      </c>
      <c r="CA39" s="121">
        <f>BZ39-BY39</f>
        <v>1441.03098</v>
      </c>
      <c r="CB39" s="413" t="e">
        <f>BZ39/BY39</f>
        <v>#DIV/0!</v>
      </c>
      <c r="CC39" s="414">
        <f>BZ39-E39</f>
        <v>-41555.569019999995</v>
      </c>
      <c r="CD39" s="415">
        <f>SUM(CD40:CD49)</f>
        <v>28379.71</v>
      </c>
      <c r="CE39" s="122">
        <f>SUM(CE40:CE49)</f>
        <v>1597.61</v>
      </c>
      <c r="CF39" s="123">
        <f>SUM(CF40:CF49)</f>
        <v>0</v>
      </c>
      <c r="CG39" s="416"/>
      <c r="CH39" s="416"/>
      <c r="CI39" s="416"/>
      <c r="CJ39" s="416"/>
      <c r="CK39" s="416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117">
        <f t="shared" ref="DA39:DF39" si="11">SUM(DA40:DA49)</f>
        <v>42643.78</v>
      </c>
      <c r="DB39" s="117">
        <f t="shared" si="11"/>
        <v>45542.131000000001</v>
      </c>
      <c r="DC39" s="117">
        <f t="shared" si="11"/>
        <v>42996.6</v>
      </c>
      <c r="DD39" s="117">
        <f t="shared" si="11"/>
        <v>42996.6</v>
      </c>
      <c r="DE39" s="117">
        <f t="shared" si="11"/>
        <v>42996.6</v>
      </c>
      <c r="DF39" s="117">
        <f t="shared" si="11"/>
        <v>42996.6</v>
      </c>
      <c r="DG39" s="117"/>
      <c r="DI39" s="826"/>
      <c r="DJ39" s="788"/>
    </row>
    <row r="40" spans="1:114" s="783" customFormat="1" ht="12" hidden="1" customHeight="1">
      <c r="A40" s="124"/>
      <c r="B40" s="125" t="s">
        <v>87</v>
      </c>
      <c r="C40" s="827" t="s">
        <v>54</v>
      </c>
      <c r="D40" s="78">
        <v>28671.39</v>
      </c>
      <c r="E40" s="78">
        <v>28671.39</v>
      </c>
      <c r="F40" s="78">
        <v>28671.39</v>
      </c>
      <c r="G40" s="78">
        <v>28671.39</v>
      </c>
      <c r="H40" s="3"/>
      <c r="I40" s="3"/>
      <c r="J40" s="3"/>
      <c r="K40" s="3"/>
      <c r="L40" s="3"/>
      <c r="M40" s="3">
        <v>927.74381000000005</v>
      </c>
      <c r="N40" s="3"/>
      <c r="O40" s="3">
        <v>927.74</v>
      </c>
      <c r="P40" s="3"/>
      <c r="Q40" s="3"/>
      <c r="R40" s="3"/>
      <c r="S40" s="3"/>
      <c r="T40" s="3"/>
      <c r="U40" s="3"/>
      <c r="V40" s="3"/>
      <c r="W40" s="3"/>
      <c r="X40" s="3"/>
      <c r="Y40" s="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6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6"/>
      <c r="AX40" s="33">
        <f>G40/2</f>
        <v>14335.695</v>
      </c>
      <c r="AY40" s="33">
        <v>21245.19</v>
      </c>
      <c r="AZ40" s="102"/>
      <c r="BA40" s="103">
        <f>AY40</f>
        <v>21245.19</v>
      </c>
      <c r="BB40" s="103"/>
      <c r="BC40" s="103"/>
      <c r="BD40" s="103"/>
      <c r="BE40" s="104"/>
      <c r="BF40" s="102"/>
      <c r="BG40" s="103"/>
      <c r="BH40" s="103"/>
      <c r="BI40" s="104"/>
      <c r="BJ40" s="417">
        <f>BA40-AZ40</f>
        <v>21245.19</v>
      </c>
      <c r="BK40" s="418" t="e">
        <f>BA40/AZ40</f>
        <v>#DIV/0!</v>
      </c>
      <c r="BL40" s="419"/>
      <c r="BM40" s="102"/>
      <c r="BN40" s="103"/>
      <c r="BO40" s="420"/>
      <c r="BP40" s="102"/>
      <c r="BQ40" s="103"/>
      <c r="BR40" s="103"/>
      <c r="BS40" s="421"/>
      <c r="BT40" s="102"/>
      <c r="BU40" s="103"/>
      <c r="BV40" s="103"/>
      <c r="BW40" s="421"/>
      <c r="BX40" s="422">
        <v>14729.36</v>
      </c>
      <c r="BY40" s="423">
        <f>L40+BL40+BP40+BT40</f>
        <v>0</v>
      </c>
      <c r="BZ40" s="33">
        <f>M40+BM40+BQ40+BU40</f>
        <v>927.74381000000005</v>
      </c>
      <c r="CA40" s="102">
        <f>BZ40-BY40</f>
        <v>927.74381000000005</v>
      </c>
      <c r="CB40" s="424" t="e">
        <f>BZ40/BY40</f>
        <v>#DIV/0!</v>
      </c>
      <c r="CC40" s="93">
        <f>BZ40-E40</f>
        <v>-27743.646189999999</v>
      </c>
      <c r="CD40" s="425">
        <v>18016.63</v>
      </c>
      <c r="CE40" s="103"/>
      <c r="CF40" s="104"/>
      <c r="CG40" s="406"/>
      <c r="CH40" s="406"/>
      <c r="CI40" s="406"/>
      <c r="CJ40" s="406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33">
        <f>DA29*90/100</f>
        <v>25692.84</v>
      </c>
      <c r="DB40" s="33">
        <f>DB29*90/100</f>
        <v>27811.439999999999</v>
      </c>
      <c r="DC40" s="78">
        <v>28671.39</v>
      </c>
      <c r="DD40" s="78">
        <v>28671.39</v>
      </c>
      <c r="DE40" s="78">
        <v>28671.39</v>
      </c>
      <c r="DF40" s="78">
        <v>28671.39</v>
      </c>
      <c r="DG40" s="134"/>
      <c r="DI40" s="826"/>
      <c r="DJ40" s="788"/>
    </row>
    <row r="41" spans="1:114" s="783" customFormat="1" ht="12" hidden="1" customHeight="1">
      <c r="A41" s="130"/>
      <c r="B41" s="131" t="s">
        <v>88</v>
      </c>
      <c r="C41" s="829" t="s">
        <v>54</v>
      </c>
      <c r="D41" s="31">
        <v>14325.21</v>
      </c>
      <c r="E41" s="31">
        <v>14325.21</v>
      </c>
      <c r="F41" s="31">
        <v>14325.21</v>
      </c>
      <c r="G41" s="31">
        <v>14325.21</v>
      </c>
      <c r="H41" s="134"/>
      <c r="I41" s="134"/>
      <c r="J41" s="134"/>
      <c r="K41" s="134"/>
      <c r="L41" s="134"/>
      <c r="M41" s="134">
        <v>423.75716999999997</v>
      </c>
      <c r="N41" s="134"/>
      <c r="O41" s="134"/>
      <c r="P41" s="134"/>
      <c r="Q41" s="134"/>
      <c r="R41" s="134"/>
      <c r="S41" s="134">
        <v>107.211</v>
      </c>
      <c r="T41" s="134"/>
      <c r="U41" s="134">
        <v>316.55</v>
      </c>
      <c r="V41" s="134"/>
      <c r="W41" s="134"/>
      <c r="X41" s="134"/>
      <c r="Y41" s="155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56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56"/>
      <c r="AX41" s="31">
        <f>G41/2</f>
        <v>7162.6049999999996</v>
      </c>
      <c r="AY41" s="31">
        <v>11770.36</v>
      </c>
      <c r="AZ41" s="109"/>
      <c r="BA41" s="62"/>
      <c r="BB41" s="62">
        <v>3192.5</v>
      </c>
      <c r="BC41" s="62">
        <f>AY41</f>
        <v>11770.36</v>
      </c>
      <c r="BD41" s="62"/>
      <c r="BE41" s="110"/>
      <c r="BF41" s="109"/>
      <c r="BG41" s="62"/>
      <c r="BH41" s="62"/>
      <c r="BI41" s="110"/>
      <c r="BJ41" s="426">
        <f>BC41-BB41</f>
        <v>8577.86</v>
      </c>
      <c r="BK41" s="427">
        <f>BC41/BB41</f>
        <v>3.6868786217697731</v>
      </c>
      <c r="BL41" s="428"/>
      <c r="BM41" s="109"/>
      <c r="BN41" s="62"/>
      <c r="BO41" s="429"/>
      <c r="BP41" s="109"/>
      <c r="BQ41" s="62"/>
      <c r="BR41" s="62"/>
      <c r="BS41" s="430"/>
      <c r="BT41" s="109"/>
      <c r="BU41" s="62"/>
      <c r="BV41" s="62"/>
      <c r="BW41" s="430"/>
      <c r="BX41" s="431">
        <v>8346.3799999999992</v>
      </c>
      <c r="BY41" s="432">
        <f>L41+BL41+BP41+BT41</f>
        <v>0</v>
      </c>
      <c r="BZ41" s="31">
        <f>M41+BM41+BQ41+BU41</f>
        <v>423.75716999999997</v>
      </c>
      <c r="CA41" s="109">
        <f>BZ41-BY41</f>
        <v>423.75716999999997</v>
      </c>
      <c r="CB41" s="433" t="e">
        <f>BZ41/BY41</f>
        <v>#DIV/0!</v>
      </c>
      <c r="CC41" s="72">
        <f>BZ41-E41</f>
        <v>-13901.452829999998</v>
      </c>
      <c r="CD41" s="434">
        <v>10363.08</v>
      </c>
      <c r="CE41" s="62"/>
      <c r="CF41" s="110"/>
      <c r="CG41" s="406"/>
      <c r="CH41" s="406"/>
      <c r="CI41" s="406"/>
      <c r="CJ41" s="406"/>
      <c r="CK41" s="406"/>
      <c r="CL41" s="406"/>
      <c r="CM41" s="406"/>
      <c r="CN41" s="406"/>
      <c r="CO41" s="406"/>
      <c r="CP41" s="406"/>
      <c r="CQ41" s="406"/>
      <c r="CR41" s="406"/>
      <c r="CS41" s="406"/>
      <c r="CT41" s="406"/>
      <c r="CU41" s="406"/>
      <c r="CV41" s="406"/>
      <c r="CW41" s="406"/>
      <c r="CX41" s="406"/>
      <c r="CY41" s="406"/>
      <c r="CZ41" s="406"/>
      <c r="DA41" s="31">
        <f>DA30*90/100</f>
        <v>13270.14</v>
      </c>
      <c r="DB41" s="31">
        <f>DB30*90/100</f>
        <v>14049.891000000001</v>
      </c>
      <c r="DC41" s="31">
        <v>14325.21</v>
      </c>
      <c r="DD41" s="31">
        <v>14325.21</v>
      </c>
      <c r="DE41" s="31">
        <v>14325.21</v>
      </c>
      <c r="DF41" s="31">
        <v>14325.21</v>
      </c>
      <c r="DG41" s="134"/>
      <c r="DI41" s="826"/>
      <c r="DJ41" s="788"/>
    </row>
    <row r="42" spans="1:114" s="783" customFormat="1" ht="12" hidden="1" customHeight="1">
      <c r="A42" s="130"/>
      <c r="B42" s="131" t="s">
        <v>339</v>
      </c>
      <c r="C42" s="829" t="s">
        <v>54</v>
      </c>
      <c r="D42" s="31">
        <v>0</v>
      </c>
      <c r="E42" s="31">
        <v>0</v>
      </c>
      <c r="F42" s="31">
        <v>0</v>
      </c>
      <c r="G42" s="31">
        <v>0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55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56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56"/>
      <c r="AX42" s="31"/>
      <c r="AY42" s="31">
        <v>0</v>
      </c>
      <c r="AZ42" s="109"/>
      <c r="BA42" s="62"/>
      <c r="BB42" s="62"/>
      <c r="BC42" s="62"/>
      <c r="BD42" s="62"/>
      <c r="BE42" s="110">
        <f>AY42</f>
        <v>0</v>
      </c>
      <c r="BF42" s="109"/>
      <c r="BG42" s="62"/>
      <c r="BH42" s="62"/>
      <c r="BI42" s="110"/>
      <c r="BJ42" s="426"/>
      <c r="BK42" s="427"/>
      <c r="BL42" s="428"/>
      <c r="BM42" s="109"/>
      <c r="BN42" s="62"/>
      <c r="BO42" s="429"/>
      <c r="BP42" s="109"/>
      <c r="BQ42" s="62"/>
      <c r="BR42" s="62"/>
      <c r="BS42" s="430"/>
      <c r="BT42" s="109"/>
      <c r="BU42" s="62"/>
      <c r="BV42" s="62"/>
      <c r="BW42" s="430"/>
      <c r="BX42" s="431"/>
      <c r="BY42" s="432"/>
      <c r="BZ42" s="31"/>
      <c r="CA42" s="109"/>
      <c r="CB42" s="433"/>
      <c r="CC42" s="72"/>
      <c r="CD42" s="434"/>
      <c r="CE42" s="62"/>
      <c r="CF42" s="110"/>
      <c r="CG42" s="406"/>
      <c r="CH42" s="406"/>
      <c r="CI42" s="406"/>
      <c r="CJ42" s="406"/>
      <c r="CK42" s="406"/>
      <c r="CL42" s="406"/>
      <c r="CM42" s="406"/>
      <c r="CN42" s="406"/>
      <c r="CO42" s="406"/>
      <c r="CP42" s="406"/>
      <c r="CQ42" s="406"/>
      <c r="CR42" s="406"/>
      <c r="CS42" s="406"/>
      <c r="CT42" s="406"/>
      <c r="CU42" s="406"/>
      <c r="CV42" s="406"/>
      <c r="CW42" s="406"/>
      <c r="CX42" s="406"/>
      <c r="CY42" s="406"/>
      <c r="CZ42" s="406"/>
      <c r="DA42" s="31">
        <f>DA31</f>
        <v>3680.7999999999997</v>
      </c>
      <c r="DB42" s="31">
        <f>DB31</f>
        <v>3680.7999999999997</v>
      </c>
      <c r="DC42" s="31">
        <v>0</v>
      </c>
      <c r="DD42" s="31">
        <v>0</v>
      </c>
      <c r="DE42" s="31">
        <v>0</v>
      </c>
      <c r="DF42" s="31">
        <v>0</v>
      </c>
      <c r="DG42" s="134"/>
      <c r="DI42" s="826"/>
      <c r="DJ42" s="788"/>
    </row>
    <row r="43" spans="1:114" s="783" customFormat="1" ht="24" hidden="1" customHeight="1">
      <c r="A43" s="130"/>
      <c r="B43" s="142" t="s">
        <v>155</v>
      </c>
      <c r="C43" s="829" t="s">
        <v>54</v>
      </c>
      <c r="D43" s="31"/>
      <c r="E43" s="31"/>
      <c r="F43" s="31"/>
      <c r="G43" s="31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55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56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56"/>
      <c r="AX43" s="31"/>
      <c r="AY43" s="31"/>
      <c r="AZ43" s="109"/>
      <c r="BA43" s="62"/>
      <c r="BB43" s="62"/>
      <c r="BC43" s="62"/>
      <c r="BD43" s="62"/>
      <c r="BE43" s="110"/>
      <c r="BF43" s="109">
        <f>AY43</f>
        <v>0</v>
      </c>
      <c r="BG43" s="62"/>
      <c r="BH43" s="62"/>
      <c r="BI43" s="110"/>
      <c r="BJ43" s="426"/>
      <c r="BK43" s="427"/>
      <c r="BL43" s="428"/>
      <c r="BM43" s="109"/>
      <c r="BN43" s="62"/>
      <c r="BO43" s="429"/>
      <c r="BP43" s="109"/>
      <c r="BQ43" s="62"/>
      <c r="BR43" s="62"/>
      <c r="BS43" s="430"/>
      <c r="BT43" s="109"/>
      <c r="BU43" s="62"/>
      <c r="BV43" s="62"/>
      <c r="BW43" s="430"/>
      <c r="BX43" s="431"/>
      <c r="BY43" s="432"/>
      <c r="BZ43" s="31"/>
      <c r="CA43" s="109"/>
      <c r="CB43" s="433"/>
      <c r="CC43" s="72"/>
      <c r="CD43" s="434"/>
      <c r="CE43" s="62"/>
      <c r="CF43" s="110"/>
      <c r="CG43" s="406"/>
      <c r="CH43" s="406"/>
      <c r="CI43" s="406"/>
      <c r="CJ43" s="406"/>
      <c r="CK43" s="406"/>
      <c r="CL43" s="406"/>
      <c r="CM43" s="406"/>
      <c r="CN43" s="406"/>
      <c r="CO43" s="406"/>
      <c r="CP43" s="406"/>
      <c r="CQ43" s="406"/>
      <c r="CR43" s="406"/>
      <c r="CS43" s="406"/>
      <c r="CT43" s="406"/>
      <c r="CU43" s="406"/>
      <c r="CV43" s="406"/>
      <c r="CW43" s="406"/>
      <c r="CX43" s="406"/>
      <c r="CY43" s="406"/>
      <c r="CZ43" s="406"/>
      <c r="DA43" s="31"/>
      <c r="DB43" s="31"/>
      <c r="DC43" s="31"/>
      <c r="DD43" s="31"/>
      <c r="DE43" s="31"/>
      <c r="DF43" s="31"/>
      <c r="DG43" s="134"/>
      <c r="DI43" s="826"/>
      <c r="DJ43" s="788"/>
    </row>
    <row r="44" spans="1:114" s="783" customFormat="1" ht="12" hidden="1" customHeight="1">
      <c r="A44" s="130"/>
      <c r="B44" s="131" t="s">
        <v>204</v>
      </c>
      <c r="C44" s="829" t="s">
        <v>54</v>
      </c>
      <c r="D44" s="31"/>
      <c r="E44" s="31"/>
      <c r="F44" s="31"/>
      <c r="G44" s="31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55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56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56"/>
      <c r="AX44" s="31"/>
      <c r="AY44" s="31"/>
      <c r="AZ44" s="109"/>
      <c r="BA44" s="62"/>
      <c r="BB44" s="62"/>
      <c r="BC44" s="62"/>
      <c r="BD44" s="62"/>
      <c r="BE44" s="110"/>
      <c r="BF44" s="109"/>
      <c r="BG44" s="62">
        <f>AY44</f>
        <v>0</v>
      </c>
      <c r="BH44" s="62"/>
      <c r="BI44" s="110"/>
      <c r="BJ44" s="426"/>
      <c r="BK44" s="427"/>
      <c r="BL44" s="428"/>
      <c r="BM44" s="109"/>
      <c r="BN44" s="62"/>
      <c r="BO44" s="429"/>
      <c r="BP44" s="109"/>
      <c r="BQ44" s="62"/>
      <c r="BR44" s="62"/>
      <c r="BS44" s="430"/>
      <c r="BT44" s="109"/>
      <c r="BU44" s="62"/>
      <c r="BV44" s="62"/>
      <c r="BW44" s="430"/>
      <c r="BX44" s="431"/>
      <c r="BY44" s="432"/>
      <c r="BZ44" s="31"/>
      <c r="CA44" s="109"/>
      <c r="CB44" s="433"/>
      <c r="CC44" s="72"/>
      <c r="CD44" s="434"/>
      <c r="CE44" s="62"/>
      <c r="CF44" s="110"/>
      <c r="CG44" s="406"/>
      <c r="CH44" s="406"/>
      <c r="CI44" s="406"/>
      <c r="CJ44" s="406"/>
      <c r="CK44" s="406"/>
      <c r="CL44" s="406"/>
      <c r="CM44" s="406"/>
      <c r="CN44" s="406"/>
      <c r="CO44" s="406"/>
      <c r="CP44" s="406"/>
      <c r="CQ44" s="406"/>
      <c r="CR44" s="406"/>
      <c r="CS44" s="406"/>
      <c r="CT44" s="406"/>
      <c r="CU44" s="406"/>
      <c r="CV44" s="406"/>
      <c r="CW44" s="406"/>
      <c r="CX44" s="406"/>
      <c r="CY44" s="406"/>
      <c r="CZ44" s="406"/>
      <c r="DA44" s="31"/>
      <c r="DB44" s="31"/>
      <c r="DC44" s="31"/>
      <c r="DD44" s="31"/>
      <c r="DE44" s="31"/>
      <c r="DF44" s="31"/>
      <c r="DG44" s="134"/>
      <c r="DI44" s="826"/>
      <c r="DJ44" s="788"/>
    </row>
    <row r="45" spans="1:114" s="783" customFormat="1" ht="12" hidden="1" customHeight="1">
      <c r="A45" s="130"/>
      <c r="B45" s="131" t="s">
        <v>91</v>
      </c>
      <c r="C45" s="829" t="s">
        <v>54</v>
      </c>
      <c r="D45" s="31"/>
      <c r="E45" s="31"/>
      <c r="F45" s="31"/>
      <c r="G45" s="31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55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56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56"/>
      <c r="AX45" s="31"/>
      <c r="AY45" s="31"/>
      <c r="AZ45" s="109"/>
      <c r="BA45" s="62"/>
      <c r="BB45" s="62"/>
      <c r="BC45" s="62"/>
      <c r="BD45" s="62"/>
      <c r="BE45" s="110"/>
      <c r="BF45" s="109"/>
      <c r="BG45" s="62">
        <f>AY45</f>
        <v>0</v>
      </c>
      <c r="BH45" s="62"/>
      <c r="BI45" s="110"/>
      <c r="BJ45" s="426"/>
      <c r="BK45" s="427"/>
      <c r="BL45" s="428"/>
      <c r="BM45" s="109"/>
      <c r="BN45" s="62"/>
      <c r="BO45" s="429"/>
      <c r="BP45" s="109"/>
      <c r="BQ45" s="62"/>
      <c r="BR45" s="62"/>
      <c r="BS45" s="430"/>
      <c r="BT45" s="109"/>
      <c r="BU45" s="62"/>
      <c r="BV45" s="62"/>
      <c r="BW45" s="430"/>
      <c r="BX45" s="431"/>
      <c r="BY45" s="432"/>
      <c r="BZ45" s="31"/>
      <c r="CA45" s="109"/>
      <c r="CB45" s="433"/>
      <c r="CC45" s="72"/>
      <c r="CD45" s="434"/>
      <c r="CE45" s="62"/>
      <c r="CF45" s="110"/>
      <c r="CG45" s="406"/>
      <c r="CH45" s="406"/>
      <c r="CI45" s="406"/>
      <c r="CJ45" s="406"/>
      <c r="CK45" s="406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406"/>
      <c r="CY45" s="406"/>
      <c r="CZ45" s="406"/>
      <c r="DA45" s="31"/>
      <c r="DB45" s="31"/>
      <c r="DC45" s="31"/>
      <c r="DD45" s="31"/>
      <c r="DE45" s="31"/>
      <c r="DF45" s="31"/>
      <c r="DG45" s="134"/>
      <c r="DI45" s="826"/>
      <c r="DJ45" s="788"/>
    </row>
    <row r="46" spans="1:114" s="783" customFormat="1" ht="12" hidden="1" customHeight="1">
      <c r="A46" s="130"/>
      <c r="B46" s="131" t="s">
        <v>137</v>
      </c>
      <c r="C46" s="829" t="s">
        <v>54</v>
      </c>
      <c r="D46" s="31"/>
      <c r="E46" s="31"/>
      <c r="F46" s="31"/>
      <c r="G46" s="31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55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56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56"/>
      <c r="AX46" s="31"/>
      <c r="AY46" s="31"/>
      <c r="AZ46" s="109"/>
      <c r="BA46" s="62"/>
      <c r="BB46" s="62"/>
      <c r="BC46" s="62"/>
      <c r="BD46" s="62"/>
      <c r="BE46" s="110"/>
      <c r="BF46" s="109"/>
      <c r="BG46" s="62"/>
      <c r="BH46" s="62">
        <f>AY46</f>
        <v>0</v>
      </c>
      <c r="BI46" s="110"/>
      <c r="BJ46" s="426"/>
      <c r="BK46" s="427"/>
      <c r="BL46" s="428"/>
      <c r="BM46" s="109"/>
      <c r="BN46" s="62"/>
      <c r="BO46" s="429"/>
      <c r="BP46" s="109"/>
      <c r="BQ46" s="62"/>
      <c r="BR46" s="62"/>
      <c r="BS46" s="430"/>
      <c r="BT46" s="109"/>
      <c r="BU46" s="62"/>
      <c r="BV46" s="62"/>
      <c r="BW46" s="430"/>
      <c r="BX46" s="431"/>
      <c r="BY46" s="432"/>
      <c r="BZ46" s="31"/>
      <c r="CA46" s="109"/>
      <c r="CB46" s="433"/>
      <c r="CC46" s="72"/>
      <c r="CD46" s="434"/>
      <c r="CE46" s="62"/>
      <c r="CF46" s="110"/>
      <c r="CG46" s="406"/>
      <c r="CH46" s="406"/>
      <c r="CI46" s="406"/>
      <c r="CJ46" s="406"/>
      <c r="CK46" s="406"/>
      <c r="CL46" s="406"/>
      <c r="CM46" s="406"/>
      <c r="CN46" s="406"/>
      <c r="CO46" s="406"/>
      <c r="CP46" s="406"/>
      <c r="CQ46" s="406"/>
      <c r="CR46" s="406"/>
      <c r="CS46" s="406"/>
      <c r="CT46" s="406"/>
      <c r="CU46" s="406"/>
      <c r="CV46" s="406"/>
      <c r="CW46" s="406"/>
      <c r="CX46" s="406"/>
      <c r="CY46" s="406"/>
      <c r="CZ46" s="406"/>
      <c r="DA46" s="31"/>
      <c r="DB46" s="31"/>
      <c r="DC46" s="31"/>
      <c r="DD46" s="31"/>
      <c r="DE46" s="31"/>
      <c r="DF46" s="31"/>
      <c r="DG46" s="134"/>
      <c r="DI46" s="826"/>
      <c r="DJ46" s="788"/>
    </row>
    <row r="47" spans="1:114" s="783" customFormat="1" ht="12" hidden="1" customHeight="1">
      <c r="A47" s="130"/>
      <c r="B47" s="131" t="s">
        <v>110</v>
      </c>
      <c r="C47" s="829" t="s">
        <v>54</v>
      </c>
      <c r="D47" s="31"/>
      <c r="E47" s="31"/>
      <c r="F47" s="31"/>
      <c r="G47" s="31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55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56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56"/>
      <c r="AX47" s="31"/>
      <c r="AY47" s="31"/>
      <c r="AZ47" s="109"/>
      <c r="BA47" s="62"/>
      <c r="BB47" s="62"/>
      <c r="BC47" s="62"/>
      <c r="BD47" s="62"/>
      <c r="BE47" s="110"/>
      <c r="BF47" s="109"/>
      <c r="BG47" s="62"/>
      <c r="BH47" s="62">
        <f>AY47</f>
        <v>0</v>
      </c>
      <c r="BI47" s="110"/>
      <c r="BJ47" s="426"/>
      <c r="BK47" s="427"/>
      <c r="BL47" s="428"/>
      <c r="BM47" s="109"/>
      <c r="BN47" s="62"/>
      <c r="BO47" s="429"/>
      <c r="BP47" s="109"/>
      <c r="BQ47" s="62"/>
      <c r="BR47" s="62"/>
      <c r="BS47" s="430"/>
      <c r="BT47" s="109"/>
      <c r="BU47" s="62"/>
      <c r="BV47" s="62"/>
      <c r="BW47" s="430"/>
      <c r="BX47" s="431"/>
      <c r="BY47" s="432"/>
      <c r="BZ47" s="31"/>
      <c r="CA47" s="109"/>
      <c r="CB47" s="433"/>
      <c r="CC47" s="72"/>
      <c r="CD47" s="434"/>
      <c r="CE47" s="62"/>
      <c r="CF47" s="110"/>
      <c r="CG47" s="406"/>
      <c r="CH47" s="406"/>
      <c r="CI47" s="406"/>
      <c r="CJ47" s="406"/>
      <c r="CK47" s="406"/>
      <c r="CL47" s="406"/>
      <c r="CM47" s="406"/>
      <c r="CN47" s="406"/>
      <c r="CO47" s="406"/>
      <c r="CP47" s="406"/>
      <c r="CQ47" s="406"/>
      <c r="CR47" s="406"/>
      <c r="CS47" s="406"/>
      <c r="CT47" s="406"/>
      <c r="CU47" s="406"/>
      <c r="CV47" s="406"/>
      <c r="CW47" s="406"/>
      <c r="CX47" s="406"/>
      <c r="CY47" s="406"/>
      <c r="CZ47" s="406"/>
      <c r="DA47" s="31"/>
      <c r="DB47" s="31"/>
      <c r="DC47" s="31"/>
      <c r="DD47" s="31"/>
      <c r="DE47" s="31"/>
      <c r="DF47" s="31"/>
      <c r="DG47" s="134"/>
      <c r="DI47" s="826"/>
      <c r="DJ47" s="788"/>
    </row>
    <row r="48" spans="1:114" s="783" customFormat="1" ht="12" hidden="1" customHeight="1">
      <c r="A48" s="130"/>
      <c r="B48" s="142" t="s">
        <v>109</v>
      </c>
      <c r="C48" s="829" t="s">
        <v>54</v>
      </c>
      <c r="D48" s="78"/>
      <c r="E48" s="78"/>
      <c r="F48" s="78"/>
      <c r="G48" s="78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55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56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56"/>
      <c r="AX48" s="31"/>
      <c r="AY48" s="31"/>
      <c r="AZ48" s="109"/>
      <c r="BA48" s="62"/>
      <c r="BB48" s="62"/>
      <c r="BC48" s="62"/>
      <c r="BD48" s="62"/>
      <c r="BE48" s="110"/>
      <c r="BF48" s="109"/>
      <c r="BG48" s="62"/>
      <c r="BH48" s="62">
        <f>AY48</f>
        <v>0</v>
      </c>
      <c r="BI48" s="110"/>
      <c r="BJ48" s="426"/>
      <c r="BK48" s="427"/>
      <c r="BL48" s="428"/>
      <c r="BM48" s="109"/>
      <c r="BN48" s="62"/>
      <c r="BO48" s="429"/>
      <c r="BP48" s="109"/>
      <c r="BQ48" s="62"/>
      <c r="BR48" s="62"/>
      <c r="BS48" s="430"/>
      <c r="BT48" s="109"/>
      <c r="BU48" s="62"/>
      <c r="BV48" s="62"/>
      <c r="BW48" s="430"/>
      <c r="BX48" s="431"/>
      <c r="BY48" s="432"/>
      <c r="BZ48" s="31"/>
      <c r="CA48" s="109"/>
      <c r="CB48" s="433"/>
      <c r="CC48" s="72"/>
      <c r="CD48" s="434"/>
      <c r="CE48" s="62"/>
      <c r="CF48" s="110"/>
      <c r="CG48" s="406"/>
      <c r="CH48" s="406"/>
      <c r="CI48" s="406"/>
      <c r="CJ48" s="406"/>
      <c r="CK48" s="406"/>
      <c r="CL48" s="406"/>
      <c r="CM48" s="406"/>
      <c r="CN48" s="406"/>
      <c r="CO48" s="406"/>
      <c r="CP48" s="406"/>
      <c r="CQ48" s="406"/>
      <c r="CR48" s="406"/>
      <c r="CS48" s="406"/>
      <c r="CT48" s="406"/>
      <c r="CU48" s="406"/>
      <c r="CV48" s="406"/>
      <c r="CW48" s="406"/>
      <c r="CX48" s="406"/>
      <c r="CY48" s="406"/>
      <c r="CZ48" s="406"/>
      <c r="DA48" s="31"/>
      <c r="DB48" s="31"/>
      <c r="DC48" s="78"/>
      <c r="DD48" s="78"/>
      <c r="DE48" s="78"/>
      <c r="DF48" s="78"/>
      <c r="DG48" s="134"/>
      <c r="DI48" s="826"/>
      <c r="DJ48" s="788"/>
    </row>
    <row r="49" spans="1:114" s="783" customFormat="1" ht="12" hidden="1" customHeight="1">
      <c r="A49" s="130"/>
      <c r="B49" s="131" t="s">
        <v>338</v>
      </c>
      <c r="C49" s="829" t="s">
        <v>54</v>
      </c>
      <c r="D49" s="31"/>
      <c r="E49" s="31"/>
      <c r="F49" s="31"/>
      <c r="G49" s="31"/>
      <c r="H49" s="134"/>
      <c r="I49" s="134"/>
      <c r="J49" s="134"/>
      <c r="K49" s="134"/>
      <c r="L49" s="134"/>
      <c r="M49" s="134">
        <v>89.53</v>
      </c>
      <c r="N49" s="134"/>
      <c r="O49" s="134"/>
      <c r="P49" s="134"/>
      <c r="Q49" s="134"/>
      <c r="R49" s="134"/>
      <c r="S49" s="134"/>
      <c r="T49" s="134"/>
      <c r="U49" s="134"/>
      <c r="V49" s="134">
        <v>89.53</v>
      </c>
      <c r="W49" s="134"/>
      <c r="X49" s="134"/>
      <c r="Y49" s="155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56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56"/>
      <c r="AX49" s="31"/>
      <c r="AY49" s="31"/>
      <c r="AZ49" s="109"/>
      <c r="BA49" s="62"/>
      <c r="BB49" s="62"/>
      <c r="BC49" s="62"/>
      <c r="BD49" s="62"/>
      <c r="BE49" s="110"/>
      <c r="BF49" s="109"/>
      <c r="BG49" s="62"/>
      <c r="BH49" s="62"/>
      <c r="BI49" s="110">
        <f>AY49</f>
        <v>0</v>
      </c>
      <c r="BJ49" s="426"/>
      <c r="BK49" s="427"/>
      <c r="BL49" s="428"/>
      <c r="BM49" s="109"/>
      <c r="BN49" s="62"/>
      <c r="BO49" s="429"/>
      <c r="BP49" s="109"/>
      <c r="BQ49" s="62"/>
      <c r="BR49" s="62"/>
      <c r="BS49" s="430"/>
      <c r="BT49" s="109"/>
      <c r="BU49" s="62"/>
      <c r="BV49" s="62"/>
      <c r="BW49" s="430"/>
      <c r="BX49" s="431"/>
      <c r="BY49" s="432">
        <v>0</v>
      </c>
      <c r="BZ49" s="31">
        <f>M49+BM49+BQ49+BU49</f>
        <v>89.53</v>
      </c>
      <c r="CA49" s="109">
        <f>BZ49-BY49</f>
        <v>89.53</v>
      </c>
      <c r="CB49" s="433">
        <v>0</v>
      </c>
      <c r="CC49" s="72">
        <f t="shared" ref="CC49:CC57" si="12">BZ49-E49</f>
        <v>89.53</v>
      </c>
      <c r="CD49" s="434"/>
      <c r="CE49" s="62">
        <v>1597.61</v>
      </c>
      <c r="CF49" s="110"/>
      <c r="CG49" s="406"/>
      <c r="CH49" s="406"/>
      <c r="CI49" s="406"/>
      <c r="CJ49" s="406"/>
      <c r="CK49" s="406"/>
      <c r="CL49" s="406"/>
      <c r="CM49" s="406"/>
      <c r="CN49" s="406"/>
      <c r="CO49" s="406"/>
      <c r="CP49" s="406"/>
      <c r="CQ49" s="406"/>
      <c r="CR49" s="406"/>
      <c r="CS49" s="406"/>
      <c r="CT49" s="406"/>
      <c r="CU49" s="406"/>
      <c r="CV49" s="406"/>
      <c r="CW49" s="406"/>
      <c r="CX49" s="406"/>
      <c r="CY49" s="406"/>
      <c r="CZ49" s="406"/>
      <c r="DA49" s="31"/>
      <c r="DB49" s="31"/>
      <c r="DC49" s="31"/>
      <c r="DD49" s="31"/>
      <c r="DE49" s="31"/>
      <c r="DF49" s="31"/>
      <c r="DG49" s="134"/>
      <c r="DI49" s="826"/>
      <c r="DJ49" s="788"/>
    </row>
    <row r="50" spans="1:114" s="783" customFormat="1">
      <c r="A50" s="159">
        <v>3</v>
      </c>
      <c r="B50" s="160" t="s">
        <v>340</v>
      </c>
      <c r="C50" s="833" t="s">
        <v>54</v>
      </c>
      <c r="D50" s="117">
        <f>SUM(D51,D52,D57,D68,D71,D85,D91)</f>
        <v>30755.831579999998</v>
      </c>
      <c r="E50" s="117">
        <f>SUM(E51,E52,E57,E68,E71,E85,E91)</f>
        <v>33328.181580000004</v>
      </c>
      <c r="F50" s="117">
        <f>SUM(F51,F52,F57,F68,F71,F85,F91)</f>
        <v>34690.887090000004</v>
      </c>
      <c r="G50" s="117">
        <f>SUM(G51,G52,G57,G68,G71,G85,G91)</f>
        <v>34690.891750000003</v>
      </c>
      <c r="H50" s="117" t="e">
        <f>H51+H52+#REF!+#REF!+#REF!+#REF!+#REF!+#REF!+#REF!+#REF!+#REF!</f>
        <v>#REF!</v>
      </c>
      <c r="I50" s="117" t="e">
        <f>I51+I52+#REF!+#REF!+#REF!+#REF!+#REF!+#REF!+#REF!+#REF!+#REF!</f>
        <v>#REF!</v>
      </c>
      <c r="J50" s="117" t="e">
        <f>J51+J52+#REF!+#REF!+#REF!+#REF!+#REF!+#REF!+#REF!+#REF!+#REF!</f>
        <v>#REF!</v>
      </c>
      <c r="K50" s="117" t="e">
        <f>K51+K52+#REF!+#REF!+#REF!+#REF!+#REF!+#REF!+#REF!+#REF!+#REF!</f>
        <v>#REF!</v>
      </c>
      <c r="L50" s="117" t="e">
        <f>L51+L52+#REF!+#REF!+#REF!+#REF!+#REF!+#REF!+#REF!+#REF!+#REF!</f>
        <v>#REF!</v>
      </c>
      <c r="M50" s="117" t="e">
        <f>M51+M52+#REF!+#REF!+#REF!+#REF!+#REF!+#REF!+#REF!+#REF!+#REF!</f>
        <v>#REF!</v>
      </c>
      <c r="N50" s="117" t="e">
        <f>N51+N52+#REF!+#REF!+#REF!+#REF!+#REF!+#REF!+#REF!+#REF!+#REF!</f>
        <v>#REF!</v>
      </c>
      <c r="O50" s="117" t="e">
        <f>O51+O52+#REF!+#REF!+#REF!+#REF!+#REF!+#REF!+#REF!+#REF!+#REF!</f>
        <v>#REF!</v>
      </c>
      <c r="P50" s="117" t="e">
        <f>P51+P52+#REF!+#REF!+#REF!+#REF!+#REF!+#REF!+#REF!+#REF!+#REF!</f>
        <v>#REF!</v>
      </c>
      <c r="Q50" s="117" t="e">
        <f>Q51+Q52+#REF!+#REF!+#REF!+#REF!+#REF!+#REF!+#REF!+#REF!+#REF!</f>
        <v>#REF!</v>
      </c>
      <c r="R50" s="117" t="e">
        <f>R51+R52+#REF!+#REF!+#REF!+#REF!+#REF!+#REF!+#REF!+#REF!+#REF!</f>
        <v>#REF!</v>
      </c>
      <c r="S50" s="117" t="e">
        <f>S51+S52+#REF!+#REF!+#REF!+#REF!+#REF!+#REF!+#REF!+#REF!+#REF!</f>
        <v>#REF!</v>
      </c>
      <c r="T50" s="117" t="e">
        <f>T51+T52+#REF!+#REF!+#REF!+#REF!+#REF!+#REF!+#REF!+#REF!+#REF!</f>
        <v>#REF!</v>
      </c>
      <c r="U50" s="117" t="e">
        <f>U51+U52+#REF!+#REF!+#REF!+#REF!+#REF!+#REF!+#REF!+#REF!+#REF!</f>
        <v>#REF!</v>
      </c>
      <c r="V50" s="117" t="e">
        <f>V51+V52+#REF!+#REF!+#REF!+#REF!</f>
        <v>#REF!</v>
      </c>
      <c r="W50" s="117"/>
      <c r="X50" s="162" t="e">
        <f t="shared" ref="X50:X56" si="13">O50-N50</f>
        <v>#REF!</v>
      </c>
      <c r="Y50" s="163" t="e">
        <f t="shared" ref="Y50:Y56" si="14">O50/N50</f>
        <v>#REF!</v>
      </c>
      <c r="Z50" s="117" t="e">
        <f>Z51+Z52+#REF!+#REF!+#REF!+#REF!+#REF!+#REF!+#REF!+#REF!+#REF!</f>
        <v>#REF!</v>
      </c>
      <c r="AA50" s="117" t="e">
        <f>AA51+AA52+#REF!+#REF!+#REF!+#REF!+#REF!+#REF!+#REF!+#REF!+#REF!</f>
        <v>#REF!</v>
      </c>
      <c r="AB50" s="117" t="e">
        <f>AB51+AB52+#REF!+#REF!+#REF!+#REF!+#REF!+#REF!+#REF!+#REF!+#REF!</f>
        <v>#REF!</v>
      </c>
      <c r="AC50" s="117" t="e">
        <f>AC51+AC52+#REF!+#REF!+#REF!+#REF!+#REF!+#REF!+#REF!+#REF!+#REF!</f>
        <v>#REF!</v>
      </c>
      <c r="AD50" s="117" t="e">
        <f>AD51+AD52+#REF!+#REF!+#REF!+#REF!+#REF!+#REF!+#REF!+#REF!+#REF!</f>
        <v>#REF!</v>
      </c>
      <c r="AE50" s="117" t="e">
        <f>AE51+AE52+#REF!+#REF!+#REF!+#REF!+#REF!+#REF!+#REF!+#REF!+#REF!</f>
        <v>#REF!</v>
      </c>
      <c r="AF50" s="117" t="e">
        <f>AF51+AF52+#REF!+#REF!+#REF!+#REF!+#REF!+#REF!+#REF!+#REF!+#REF!</f>
        <v>#REF!</v>
      </c>
      <c r="AG50" s="117" t="e">
        <f>AG51+AG52+#REF!+#REF!+#REF!+#REF!+#REF!+#REF!+#REF!+#REF!+#REF!</f>
        <v>#REF!</v>
      </c>
      <c r="AH50" s="117" t="e">
        <f>AH51+AH52+#REF!+#REF!+#REF!+#REF!</f>
        <v>#REF!</v>
      </c>
      <c r="AI50" s="117"/>
      <c r="AJ50" s="162" t="e">
        <f t="shared" ref="AJ50:AJ56" si="15">AC50-AB50</f>
        <v>#REF!</v>
      </c>
      <c r="AK50" s="164" t="e">
        <f t="shared" ref="AK50:AK56" si="16">AC50/AB50</f>
        <v>#REF!</v>
      </c>
      <c r="AL50" s="117" t="e">
        <f>AL51+AL52+#REF!+#REF!+#REF!+#REF!+#REF!+#REF!+#REF!+#REF!+#REF!</f>
        <v>#REF!</v>
      </c>
      <c r="AM50" s="117" t="e">
        <f>AM51+AM52+#REF!+#REF!+#REF!+#REF!+#REF!+#REF!+#REF!+#REF!+#REF!</f>
        <v>#REF!</v>
      </c>
      <c r="AN50" s="117" t="e">
        <f>AN51+AN52+#REF!+#REF!+#REF!+#REF!+#REF!+#REF!+#REF!+#REF!+#REF!</f>
        <v>#REF!</v>
      </c>
      <c r="AO50" s="117" t="e">
        <f>AO51+AO52+#REF!+#REF!+#REF!+#REF!+#REF!+#REF!+#REF!+#REF!+#REF!</f>
        <v>#REF!</v>
      </c>
      <c r="AP50" s="117" t="e">
        <f>AP51+AP52+#REF!+#REF!+#REF!+#REF!+#REF!+#REF!+#REF!+#REF!+#REF!</f>
        <v>#REF!</v>
      </c>
      <c r="AQ50" s="117" t="e">
        <f>AQ51+AQ52+#REF!+#REF!+#REF!+#REF!+#REF!+#REF!+#REF!+#REF!+#REF!</f>
        <v>#REF!</v>
      </c>
      <c r="AR50" s="117" t="e">
        <f>AR51+AR52+#REF!+#REF!+#REF!+#REF!+#REF!+#REF!+#REF!+#REF!+#REF!</f>
        <v>#REF!</v>
      </c>
      <c r="AS50" s="117" t="e">
        <f>AS51+AS52+#REF!+#REF!+#REF!+#REF!+#REF!+#REF!+#REF!+#REF!+#REF!</f>
        <v>#REF!</v>
      </c>
      <c r="AT50" s="117" t="e">
        <f>AT51+AT52+#REF!+#REF!+#REF!+#REF!</f>
        <v>#REF!</v>
      </c>
      <c r="AU50" s="117"/>
      <c r="AV50" s="162" t="e">
        <f t="shared" ref="AV50:AV56" si="17">AO50-AN50</f>
        <v>#REF!</v>
      </c>
      <c r="AW50" s="164" t="e">
        <f t="shared" ref="AW50:AW56" si="18">AO50/AN50</f>
        <v>#REF!</v>
      </c>
      <c r="AX50" s="117">
        <f>G50/2</f>
        <v>17345.445875000001</v>
      </c>
      <c r="AY50" s="117">
        <f>SUM(AY51,AY52,AY57,AY68,AY71,AY85,AY91)</f>
        <v>27089.339999999997</v>
      </c>
      <c r="AZ50" s="121" t="e">
        <f>AZ51+AZ52+#REF!+#REF!+#REF!+#REF!+#REF!+#REF!+#REF!+#REF!+#REF!</f>
        <v>#REF!</v>
      </c>
      <c r="BA50" s="122">
        <f>SUM(BA51,BA52,BA57,BA68,BA71,BA85,BA91)</f>
        <v>12782.680000000002</v>
      </c>
      <c r="BB50" s="122">
        <f t="shared" ref="BB50:BG50" si="19">SUM(BB51,BB52,BB57,BB68,BB71,BB85,BB91)</f>
        <v>63.75</v>
      </c>
      <c r="BC50" s="122">
        <f t="shared" si="19"/>
        <v>7392.13</v>
      </c>
      <c r="BD50" s="122">
        <f t="shared" si="19"/>
        <v>0</v>
      </c>
      <c r="BE50" s="123">
        <f>SUM(BE51,BE52,BE57,BE68,BE71,BE85,BE91)</f>
        <v>1916.3600000000001</v>
      </c>
      <c r="BF50" s="121">
        <f t="shared" si="19"/>
        <v>948.23811999999998</v>
      </c>
      <c r="BG50" s="122">
        <f t="shared" si="19"/>
        <v>934.58936000000006</v>
      </c>
      <c r="BH50" s="122"/>
      <c r="BI50" s="123"/>
      <c r="BJ50" s="288" t="e">
        <f t="shared" ref="BJ50:BJ74" si="20">BA50-AZ50</f>
        <v>#REF!</v>
      </c>
      <c r="BK50" s="445" t="e">
        <f t="shared" ref="BK50:BK56" si="21">BA50/AZ50</f>
        <v>#REF!</v>
      </c>
      <c r="BL50" s="408"/>
      <c r="BM50" s="343" t="e">
        <f>BM51+BM52+#REF!+#REF!+#REF!+#REF!+#REF!+#REF!+#REF!+#REF!+#REF!</f>
        <v>#REF!</v>
      </c>
      <c r="BN50" s="122"/>
      <c r="BO50" s="409"/>
      <c r="BP50" s="446"/>
      <c r="BQ50" s="343"/>
      <c r="BR50" s="344"/>
      <c r="BS50" s="447"/>
      <c r="BT50" s="448"/>
      <c r="BU50" s="343"/>
      <c r="BV50" s="344"/>
      <c r="BW50" s="447"/>
      <c r="BX50" s="411" t="e">
        <f>BX51+BX52+#REF!+#REF!+#REF!+#REF!+#REF!+#REF!+#REF!</f>
        <v>#REF!</v>
      </c>
      <c r="BY50" s="449">
        <f>F50</f>
        <v>34690.887090000004</v>
      </c>
      <c r="BZ50" s="162" t="e">
        <f>BZ51+BZ52+#REF!+#REF!+#REF!+#REF!+#REF!+#REF!+#REF!+#REF!+#REF!</f>
        <v>#REF!</v>
      </c>
      <c r="CA50" s="343" t="e">
        <f t="shared" ref="CA50:CA56" si="22">BZ50-BY50</f>
        <v>#REF!</v>
      </c>
      <c r="CB50" s="445" t="e">
        <f t="shared" ref="CB50:CB56" si="23">BZ50/BY50</f>
        <v>#REF!</v>
      </c>
      <c r="CC50" s="444" t="e">
        <f t="shared" si="12"/>
        <v>#REF!</v>
      </c>
      <c r="CD50" s="415" t="e">
        <f>CD51+CD52+#REF!+#REF!+#REF!+#REF!+#REF!+#REF!+#REF!+#REF!+#REF!</f>
        <v>#REF!</v>
      </c>
      <c r="CE50" s="122" t="e">
        <f>CE51+CE52+#REF!+#REF!+#REF!+#REF!+#REF!+#REF!+#REF!+#REF!+#REF!</f>
        <v>#REF!</v>
      </c>
      <c r="CF50" s="345" t="e">
        <f>CF51+CF52+#REF!+#REF!+#REF!+#REF!+#REF!+#REF!+#REF!+#REF!+#REF!</f>
        <v>#REF!</v>
      </c>
      <c r="CG50" s="450"/>
      <c r="CH50" s="450"/>
      <c r="CI50" s="450"/>
      <c r="CJ50" s="450"/>
      <c r="CK50" s="450"/>
      <c r="CL50" s="450"/>
      <c r="CM50" s="451"/>
      <c r="CN50" s="451"/>
      <c r="CO50" s="451"/>
      <c r="CP50" s="451"/>
      <c r="CQ50" s="451"/>
      <c r="CR50" s="451"/>
      <c r="CS50" s="451"/>
      <c r="CT50" s="451"/>
      <c r="CU50" s="451"/>
      <c r="CV50" s="451"/>
      <c r="CW50" s="451"/>
      <c r="CX50" s="451"/>
      <c r="CY50" s="451"/>
      <c r="CZ50" s="451"/>
      <c r="DA50" s="117" t="e">
        <f t="shared" ref="DA50:DG50" si="24">SUM(DA51,DA52,DA57,DA68,DA71,DA85,DA91)</f>
        <v>#REF!</v>
      </c>
      <c r="DB50" s="117">
        <f t="shared" si="24"/>
        <v>36141.921750000001</v>
      </c>
      <c r="DC50" s="117">
        <f t="shared" si="24"/>
        <v>33896.924749999998</v>
      </c>
      <c r="DD50" s="117">
        <f t="shared" si="24"/>
        <v>30058.201749999997</v>
      </c>
      <c r="DE50" s="117">
        <f t="shared" si="24"/>
        <v>34745.70175</v>
      </c>
      <c r="DF50" s="117">
        <f t="shared" si="24"/>
        <v>17022.864999999998</v>
      </c>
      <c r="DG50" s="117">
        <f t="shared" si="24"/>
        <v>17722.834999999999</v>
      </c>
      <c r="DI50" s="826"/>
      <c r="DJ50" s="788"/>
    </row>
    <row r="51" spans="1:114" s="783" customFormat="1">
      <c r="A51" s="165" t="s">
        <v>251</v>
      </c>
      <c r="B51" s="166" t="s">
        <v>1</v>
      </c>
      <c r="C51" s="834" t="s">
        <v>54</v>
      </c>
      <c r="D51" s="168">
        <v>1543.26</v>
      </c>
      <c r="E51" s="168">
        <v>2467.7199999999998</v>
      </c>
      <c r="F51" s="168">
        <v>2467.7199999999998</v>
      </c>
      <c r="G51" s="168">
        <v>2467.7199999999998</v>
      </c>
      <c r="H51" s="169">
        <v>900</v>
      </c>
      <c r="I51" s="169">
        <v>614.20000000000005</v>
      </c>
      <c r="J51" s="169">
        <v>159.69</v>
      </c>
      <c r="K51" s="169">
        <v>454.51</v>
      </c>
      <c r="L51" s="169">
        <f>G51/12</f>
        <v>205.64333333333332</v>
      </c>
      <c r="M51" s="169">
        <v>129.75</v>
      </c>
      <c r="N51" s="169">
        <v>62.45</v>
      </c>
      <c r="O51" s="169">
        <v>84.34</v>
      </c>
      <c r="P51" s="169">
        <v>12.55</v>
      </c>
      <c r="Q51" s="169">
        <v>4.59</v>
      </c>
      <c r="R51" s="169">
        <v>51.18</v>
      </c>
      <c r="S51" s="169">
        <v>40.82</v>
      </c>
      <c r="T51" s="169">
        <f>K51/12</f>
        <v>37.875833333333333</v>
      </c>
      <c r="U51" s="169"/>
      <c r="V51" s="169">
        <v>0</v>
      </c>
      <c r="W51" s="169"/>
      <c r="X51" s="170">
        <f t="shared" si="13"/>
        <v>21.89</v>
      </c>
      <c r="Y51" s="171">
        <f t="shared" si="14"/>
        <v>1.3505204163330664</v>
      </c>
      <c r="Z51" s="169">
        <v>126.18</v>
      </c>
      <c r="AA51" s="169">
        <v>129.36000000000001</v>
      </c>
      <c r="AB51" s="169">
        <v>75</v>
      </c>
      <c r="AC51" s="169"/>
      <c r="AD51" s="169">
        <v>13.31</v>
      </c>
      <c r="AE51" s="169"/>
      <c r="AF51" s="169">
        <v>37.880000000000003</v>
      </c>
      <c r="AG51" s="169"/>
      <c r="AH51" s="169"/>
      <c r="AI51" s="169"/>
      <c r="AJ51" s="170">
        <f t="shared" si="15"/>
        <v>-75</v>
      </c>
      <c r="AK51" s="172">
        <f t="shared" si="16"/>
        <v>0</v>
      </c>
      <c r="AL51" s="169">
        <v>126.18</v>
      </c>
      <c r="AM51" s="169">
        <v>129.36000000000001</v>
      </c>
      <c r="AN51" s="169">
        <v>75</v>
      </c>
      <c r="AO51" s="169"/>
      <c r="AP51" s="169">
        <v>13.31</v>
      </c>
      <c r="AQ51" s="169"/>
      <c r="AR51" s="169">
        <v>37.880000000000003</v>
      </c>
      <c r="AS51" s="169"/>
      <c r="AT51" s="169"/>
      <c r="AU51" s="169"/>
      <c r="AV51" s="170">
        <f t="shared" si="17"/>
        <v>-75</v>
      </c>
      <c r="AW51" s="172">
        <f t="shared" si="18"/>
        <v>0</v>
      </c>
      <c r="AX51" s="173">
        <f>G51/2</f>
        <v>1233.8599999999999</v>
      </c>
      <c r="AY51" s="167">
        <v>2503.98</v>
      </c>
      <c r="AZ51" s="174"/>
      <c r="BA51" s="175">
        <v>614.52</v>
      </c>
      <c r="BB51" s="175"/>
      <c r="BC51" s="175">
        <v>741.24</v>
      </c>
      <c r="BD51" s="175"/>
      <c r="BE51" s="176">
        <v>187.5</v>
      </c>
      <c r="BF51" s="174">
        <v>106.75</v>
      </c>
      <c r="BG51" s="175">
        <v>84.24</v>
      </c>
      <c r="BH51" s="175"/>
      <c r="BI51" s="176"/>
      <c r="BJ51" s="417">
        <f t="shared" si="20"/>
        <v>614.52</v>
      </c>
      <c r="BK51" s="452" t="e">
        <f t="shared" si="21"/>
        <v>#DIV/0!</v>
      </c>
      <c r="BL51" s="453"/>
      <c r="BM51" s="454">
        <v>129.35598999999999</v>
      </c>
      <c r="BN51" s="239"/>
      <c r="BO51" s="455"/>
      <c r="BP51" s="456"/>
      <c r="BQ51" s="454"/>
      <c r="BR51" s="457"/>
      <c r="BS51" s="458"/>
      <c r="BT51" s="456"/>
      <c r="BU51" s="454"/>
      <c r="BV51" s="457"/>
      <c r="BW51" s="458"/>
      <c r="BX51" s="459">
        <v>1156.8499999999999</v>
      </c>
      <c r="BY51" s="460">
        <f>L51+BL51+BP51+BT51</f>
        <v>205.64333333333332</v>
      </c>
      <c r="BZ51" s="461">
        <f>M51+BM51+BQ51+BU51</f>
        <v>259.10599000000002</v>
      </c>
      <c r="CA51" s="454">
        <f t="shared" si="22"/>
        <v>53.462656666666703</v>
      </c>
      <c r="CB51" s="462">
        <f t="shared" si="23"/>
        <v>1.2599775825458319</v>
      </c>
      <c r="CC51" s="309">
        <f t="shared" si="12"/>
        <v>-2208.6140099999998</v>
      </c>
      <c r="CD51" s="463">
        <v>1632.32</v>
      </c>
      <c r="CE51" s="175"/>
      <c r="CF51" s="464"/>
      <c r="CG51" s="465"/>
      <c r="CH51" s="465"/>
      <c r="CI51" s="465"/>
      <c r="CJ51" s="465"/>
      <c r="CK51" s="465"/>
      <c r="CL51" s="465"/>
      <c r="CM51" s="466"/>
      <c r="CN51" s="466"/>
      <c r="CO51" s="466"/>
      <c r="CP51" s="466"/>
      <c r="CQ51" s="466"/>
      <c r="CR51" s="466"/>
      <c r="CS51" s="466"/>
      <c r="CT51" s="466"/>
      <c r="CU51" s="466"/>
      <c r="CV51" s="466"/>
      <c r="CW51" s="466"/>
      <c r="CX51" s="466"/>
      <c r="CY51" s="466"/>
      <c r="CZ51" s="466"/>
      <c r="DA51" s="167">
        <v>2467.7199999999998</v>
      </c>
      <c r="DB51" s="167">
        <v>2803</v>
      </c>
      <c r="DC51" s="168">
        <v>2803</v>
      </c>
      <c r="DD51" s="168">
        <v>2894.6</v>
      </c>
      <c r="DE51" s="168">
        <v>2943.15</v>
      </c>
      <c r="DF51" s="168">
        <v>1471.58</v>
      </c>
      <c r="DG51" s="180">
        <v>1471.57</v>
      </c>
      <c r="DH51" s="835"/>
      <c r="DI51" s="826"/>
      <c r="DJ51" s="788"/>
    </row>
    <row r="52" spans="1:114" s="783" customFormat="1">
      <c r="A52" s="177" t="s">
        <v>252</v>
      </c>
      <c r="B52" s="178" t="s">
        <v>2</v>
      </c>
      <c r="C52" s="836" t="s">
        <v>54</v>
      </c>
      <c r="D52" s="179">
        <f>SUM(D53,D56)</f>
        <v>8938.1215799999991</v>
      </c>
      <c r="E52" s="179">
        <f>SUM(E53,E56)</f>
        <v>8938.1215799999991</v>
      </c>
      <c r="F52" s="179">
        <f>SUM(F53,F56)</f>
        <v>10751.247089999999</v>
      </c>
      <c r="G52" s="179">
        <f>SUM(G53,G56)</f>
        <v>10992.11175</v>
      </c>
      <c r="H52" s="180">
        <f t="shared" ref="H52:M52" si="25">H53+H56</f>
        <v>4836.0599999999995</v>
      </c>
      <c r="I52" s="180">
        <f t="shared" si="25"/>
        <v>2391.0299999999997</v>
      </c>
      <c r="J52" s="180">
        <f t="shared" si="25"/>
        <v>621.66</v>
      </c>
      <c r="K52" s="180">
        <f t="shared" si="25"/>
        <v>1769.37</v>
      </c>
      <c r="L52" s="180">
        <f t="shared" si="25"/>
        <v>916.00931250000008</v>
      </c>
      <c r="M52" s="180">
        <f t="shared" si="25"/>
        <v>651.26080000000002</v>
      </c>
      <c r="N52" s="180">
        <v>335.59</v>
      </c>
      <c r="O52" s="180">
        <f>O53+O56</f>
        <v>376.44000000000005</v>
      </c>
      <c r="P52" s="180">
        <v>67.42</v>
      </c>
      <c r="Q52" s="180">
        <f>Q53+Q56</f>
        <v>104.59</v>
      </c>
      <c r="R52" s="180">
        <f>R53+R56</f>
        <v>199.25</v>
      </c>
      <c r="S52" s="180">
        <f>S53+S56</f>
        <v>156.82000000000002</v>
      </c>
      <c r="T52" s="180">
        <f>T53+T56</f>
        <v>147.44749999999999</v>
      </c>
      <c r="U52" s="180"/>
      <c r="V52" s="180">
        <f>V53+V56</f>
        <v>13.41</v>
      </c>
      <c r="W52" s="180"/>
      <c r="X52" s="181">
        <f t="shared" si="13"/>
        <v>40.85000000000008</v>
      </c>
      <c r="Y52" s="182">
        <f t="shared" si="14"/>
        <v>1.1217259155517152</v>
      </c>
      <c r="Z52" s="180">
        <f t="shared" ref="Z52:AH52" si="26">Z53+Z56</f>
        <v>602.26</v>
      </c>
      <c r="AA52" s="180">
        <f t="shared" si="26"/>
        <v>591.05651</v>
      </c>
      <c r="AB52" s="180">
        <f t="shared" si="26"/>
        <v>403.01</v>
      </c>
      <c r="AC52" s="180">
        <f t="shared" si="26"/>
        <v>0</v>
      </c>
      <c r="AD52" s="180">
        <f t="shared" si="26"/>
        <v>51.805199966660005</v>
      </c>
      <c r="AE52" s="180">
        <f t="shared" si="26"/>
        <v>0</v>
      </c>
      <c r="AF52" s="180">
        <f t="shared" si="26"/>
        <v>147.44999999999999</v>
      </c>
      <c r="AG52" s="180">
        <f t="shared" si="26"/>
        <v>0</v>
      </c>
      <c r="AH52" s="180">
        <f t="shared" si="26"/>
        <v>0</v>
      </c>
      <c r="AI52" s="180"/>
      <c r="AJ52" s="181">
        <f t="shared" si="15"/>
        <v>-403.01</v>
      </c>
      <c r="AK52" s="183">
        <f t="shared" si="16"/>
        <v>0</v>
      </c>
      <c r="AL52" s="180">
        <f t="shared" ref="AL52:AT52" si="27">AL53+AL56</f>
        <v>602.26</v>
      </c>
      <c r="AM52" s="180">
        <f t="shared" si="27"/>
        <v>591.05651</v>
      </c>
      <c r="AN52" s="180">
        <f t="shared" si="27"/>
        <v>403.01</v>
      </c>
      <c r="AO52" s="180">
        <f t="shared" si="27"/>
        <v>0</v>
      </c>
      <c r="AP52" s="180">
        <f t="shared" si="27"/>
        <v>51.805199966660005</v>
      </c>
      <c r="AQ52" s="180">
        <f t="shared" si="27"/>
        <v>0</v>
      </c>
      <c r="AR52" s="180">
        <f t="shared" si="27"/>
        <v>147.44999999999999</v>
      </c>
      <c r="AS52" s="180">
        <f t="shared" si="27"/>
        <v>0</v>
      </c>
      <c r="AT52" s="180">
        <f t="shared" si="27"/>
        <v>0</v>
      </c>
      <c r="AU52" s="180"/>
      <c r="AV52" s="181">
        <f t="shared" si="17"/>
        <v>-403.01</v>
      </c>
      <c r="AW52" s="183">
        <f t="shared" si="18"/>
        <v>0</v>
      </c>
      <c r="AX52" s="179">
        <f>G52/2</f>
        <v>5496.055875</v>
      </c>
      <c r="AY52" s="179">
        <f>AY53+AY56</f>
        <v>9186.85</v>
      </c>
      <c r="AZ52" s="184">
        <f>AZ53+AZ56</f>
        <v>0</v>
      </c>
      <c r="BA52" s="185">
        <f>BA53+BA56</f>
        <v>4139.67</v>
      </c>
      <c r="BB52" s="185">
        <f t="shared" ref="BB52:BG52" si="28">BB53+BB56</f>
        <v>0</v>
      </c>
      <c r="BC52" s="185">
        <f t="shared" si="28"/>
        <v>3261.87</v>
      </c>
      <c r="BD52" s="185">
        <f t="shared" si="28"/>
        <v>0</v>
      </c>
      <c r="BE52" s="186">
        <f t="shared" si="28"/>
        <v>1051.42</v>
      </c>
      <c r="BF52" s="184">
        <f>BF53+BF56</f>
        <v>288.76812000000001</v>
      </c>
      <c r="BG52" s="185">
        <f t="shared" si="28"/>
        <v>415.17936000000003</v>
      </c>
      <c r="BH52" s="185"/>
      <c r="BI52" s="186"/>
      <c r="BJ52" s="426">
        <f t="shared" si="20"/>
        <v>4139.67</v>
      </c>
      <c r="BK52" s="467" t="e">
        <f t="shared" si="21"/>
        <v>#DIV/0!</v>
      </c>
      <c r="BL52" s="468"/>
      <c r="BM52" s="469">
        <f>BM53+BM56</f>
        <v>589.58738999999991</v>
      </c>
      <c r="BN52" s="264"/>
      <c r="BO52" s="470"/>
      <c r="BP52" s="471"/>
      <c r="BQ52" s="469"/>
      <c r="BR52" s="472"/>
      <c r="BS52" s="473"/>
      <c r="BT52" s="471"/>
      <c r="BU52" s="469"/>
      <c r="BV52" s="472"/>
      <c r="BW52" s="473"/>
      <c r="BX52" s="474">
        <v>6457.72</v>
      </c>
      <c r="BY52" s="475">
        <f>F52</f>
        <v>10751.247089999999</v>
      </c>
      <c r="BZ52" s="320">
        <f>M52+BM52+BQ52+BU52</f>
        <v>1240.8481899999999</v>
      </c>
      <c r="CA52" s="469">
        <f t="shared" si="22"/>
        <v>-9510.3988999999983</v>
      </c>
      <c r="CB52" s="476">
        <f t="shared" si="23"/>
        <v>0.11541434957384093</v>
      </c>
      <c r="CC52" s="72">
        <f t="shared" si="12"/>
        <v>-7697.2733899999994</v>
      </c>
      <c r="CD52" s="477">
        <f>CD53+CD56</f>
        <v>474.63818999999995</v>
      </c>
      <c r="CE52" s="185">
        <f>CE53+CE56</f>
        <v>766.20999999999992</v>
      </c>
      <c r="CF52" s="478"/>
      <c r="CG52" s="465"/>
      <c r="CH52" s="465"/>
      <c r="CI52" s="465"/>
      <c r="CJ52" s="465"/>
      <c r="CK52" s="465"/>
      <c r="CL52" s="465"/>
      <c r="CM52" s="466"/>
      <c r="CN52" s="466"/>
      <c r="CO52" s="466"/>
      <c r="CP52" s="466"/>
      <c r="CQ52" s="466"/>
      <c r="CR52" s="466"/>
      <c r="CS52" s="466"/>
      <c r="CT52" s="466"/>
      <c r="CU52" s="466"/>
      <c r="CV52" s="466"/>
      <c r="CW52" s="466"/>
      <c r="CX52" s="466"/>
      <c r="CY52" s="466"/>
      <c r="CZ52" s="466"/>
      <c r="DA52" s="179">
        <f>DA53+DA56</f>
        <v>8938.1215799999991</v>
      </c>
      <c r="DB52" s="179">
        <f>DB53+DB56</f>
        <v>10992.11175</v>
      </c>
      <c r="DC52" s="179">
        <f>SUM(DC53,DC56)</f>
        <v>10992.11175</v>
      </c>
      <c r="DD52" s="179">
        <f>SUM(DD53,DD56)</f>
        <v>10992.11175</v>
      </c>
      <c r="DE52" s="179">
        <f>SUM(DE53,DE56)</f>
        <v>10992.11175</v>
      </c>
      <c r="DF52" s="179">
        <v>5496.06</v>
      </c>
      <c r="DG52" s="179">
        <v>5496.05</v>
      </c>
      <c r="DI52" s="826"/>
      <c r="DJ52" s="788"/>
    </row>
    <row r="53" spans="1:114" s="783" customFormat="1">
      <c r="A53" s="177"/>
      <c r="B53" s="187" t="s">
        <v>3</v>
      </c>
      <c r="C53" s="837" t="s">
        <v>54</v>
      </c>
      <c r="D53" s="31">
        <v>7429.86</v>
      </c>
      <c r="E53" s="31">
        <v>7429.86</v>
      </c>
      <c r="F53" s="31">
        <f>7429.86+1507.17</f>
        <v>8937.0299999999988</v>
      </c>
      <c r="G53" s="31">
        <v>9137.25</v>
      </c>
      <c r="H53" s="134">
        <v>4020</v>
      </c>
      <c r="I53" s="134">
        <v>1987.56</v>
      </c>
      <c r="J53" s="134">
        <v>516.76</v>
      </c>
      <c r="K53" s="134">
        <v>1470.8</v>
      </c>
      <c r="L53" s="134">
        <f>G53/12</f>
        <v>761.4375</v>
      </c>
      <c r="M53" s="134">
        <v>541.36392999999998</v>
      </c>
      <c r="N53" s="134">
        <v>278.95</v>
      </c>
      <c r="O53" s="134">
        <v>312.91000000000003</v>
      </c>
      <c r="P53" s="134">
        <v>56.05</v>
      </c>
      <c r="Q53" s="134">
        <v>86.94</v>
      </c>
      <c r="R53" s="134">
        <v>165.63</v>
      </c>
      <c r="S53" s="134">
        <v>130.36000000000001</v>
      </c>
      <c r="T53" s="134">
        <f>K53/12</f>
        <v>122.56666666666666</v>
      </c>
      <c r="U53" s="134"/>
      <c r="V53" s="134">
        <v>11.15</v>
      </c>
      <c r="W53" s="134"/>
      <c r="X53" s="51">
        <f t="shared" si="13"/>
        <v>33.960000000000036</v>
      </c>
      <c r="Y53" s="188">
        <f t="shared" si="14"/>
        <v>1.1217422477146444</v>
      </c>
      <c r="Z53" s="134">
        <v>500.63</v>
      </c>
      <c r="AA53" s="134">
        <v>491.62250999999998</v>
      </c>
      <c r="AB53" s="134">
        <v>335</v>
      </c>
      <c r="AC53" s="134"/>
      <c r="AD53" s="134">
        <v>43.063533300000003</v>
      </c>
      <c r="AE53" s="134"/>
      <c r="AF53" s="134">
        <v>122.57</v>
      </c>
      <c r="AG53" s="134"/>
      <c r="AH53" s="134"/>
      <c r="AI53" s="134"/>
      <c r="AJ53" s="51">
        <f t="shared" si="15"/>
        <v>-335</v>
      </c>
      <c r="AK53" s="189">
        <f t="shared" si="16"/>
        <v>0</v>
      </c>
      <c r="AL53" s="134">
        <v>500.63</v>
      </c>
      <c r="AM53" s="134">
        <v>491.62250999999998</v>
      </c>
      <c r="AN53" s="134">
        <v>335</v>
      </c>
      <c r="AO53" s="134"/>
      <c r="AP53" s="134">
        <v>43.063533300000003</v>
      </c>
      <c r="AQ53" s="134"/>
      <c r="AR53" s="134">
        <v>122.57</v>
      </c>
      <c r="AS53" s="134"/>
      <c r="AT53" s="134"/>
      <c r="AU53" s="134"/>
      <c r="AV53" s="51">
        <f t="shared" si="17"/>
        <v>-335</v>
      </c>
      <c r="AW53" s="189">
        <f t="shared" si="18"/>
        <v>0</v>
      </c>
      <c r="AX53" s="31">
        <f>G53/2</f>
        <v>4568.625</v>
      </c>
      <c r="AY53" s="31">
        <v>7636.61</v>
      </c>
      <c r="AZ53" s="109"/>
      <c r="BA53" s="62">
        <v>3440.71</v>
      </c>
      <c r="BB53" s="62"/>
      <c r="BC53" s="62">
        <v>2711.45</v>
      </c>
      <c r="BD53" s="62"/>
      <c r="BE53" s="110">
        <v>874</v>
      </c>
      <c r="BF53" s="109">
        <v>240.04</v>
      </c>
      <c r="BG53" s="62">
        <v>345.12</v>
      </c>
      <c r="BH53" s="62"/>
      <c r="BI53" s="110"/>
      <c r="BJ53" s="426">
        <f t="shared" si="20"/>
        <v>3440.71</v>
      </c>
      <c r="BK53" s="467" t="e">
        <f t="shared" si="21"/>
        <v>#DIV/0!</v>
      </c>
      <c r="BL53" s="428"/>
      <c r="BM53" s="61">
        <v>491.62250999999998</v>
      </c>
      <c r="BN53" s="62"/>
      <c r="BO53" s="429"/>
      <c r="BP53" s="64"/>
      <c r="BQ53" s="61"/>
      <c r="BR53" s="479"/>
      <c r="BS53" s="66"/>
      <c r="BT53" s="64"/>
      <c r="BU53" s="61"/>
      <c r="BV53" s="479"/>
      <c r="BW53" s="66"/>
      <c r="BX53" s="431"/>
      <c r="BY53" s="68">
        <f>L53+BL53+BP53+BT53</f>
        <v>761.4375</v>
      </c>
      <c r="BZ53" s="69">
        <f>M53+BM53+BQ53+BU53</f>
        <v>1032.9864399999999</v>
      </c>
      <c r="CA53" s="61">
        <f t="shared" si="22"/>
        <v>271.5489399999999</v>
      </c>
      <c r="CB53" s="71">
        <f t="shared" si="23"/>
        <v>1.3566266962160387</v>
      </c>
      <c r="CC53" s="72">
        <f t="shared" si="12"/>
        <v>-6396.87356</v>
      </c>
      <c r="CD53" s="434">
        <f>BZ53-CE53</f>
        <v>396.06643999999994</v>
      </c>
      <c r="CE53" s="62">
        <v>636.91999999999996</v>
      </c>
      <c r="CF53" s="73"/>
      <c r="CG53" s="74"/>
      <c r="CH53" s="74"/>
      <c r="CI53" s="74"/>
      <c r="CJ53" s="74"/>
      <c r="CK53" s="74"/>
      <c r="CL53" s="74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31">
        <v>7429.86</v>
      </c>
      <c r="DB53" s="31">
        <v>9137.25</v>
      </c>
      <c r="DC53" s="31">
        <v>9137.25</v>
      </c>
      <c r="DD53" s="31">
        <v>9137.25</v>
      </c>
      <c r="DE53" s="31">
        <v>9137.25</v>
      </c>
      <c r="DF53" s="31">
        <v>4568.63</v>
      </c>
      <c r="DG53" s="134">
        <v>4568.62</v>
      </c>
      <c r="DH53" s="835"/>
      <c r="DI53" s="826"/>
      <c r="DJ53" s="788"/>
    </row>
    <row r="54" spans="1:114" s="783" customFormat="1">
      <c r="A54" s="177"/>
      <c r="B54" s="190" t="s">
        <v>38</v>
      </c>
      <c r="C54" s="837" t="s">
        <v>82</v>
      </c>
      <c r="D54" s="31">
        <v>29.5</v>
      </c>
      <c r="E54" s="31">
        <v>29.5</v>
      </c>
      <c r="F54" s="31">
        <v>31.5</v>
      </c>
      <c r="G54" s="31">
        <v>31.5</v>
      </c>
      <c r="H54" s="134">
        <v>18</v>
      </c>
      <c r="I54" s="134">
        <v>9.5</v>
      </c>
      <c r="J54" s="134">
        <v>2.5</v>
      </c>
      <c r="K54" s="134">
        <v>7</v>
      </c>
      <c r="L54" s="134">
        <v>27.5</v>
      </c>
      <c r="M54" s="134">
        <v>24.5</v>
      </c>
      <c r="N54" s="134">
        <v>18</v>
      </c>
      <c r="O54" s="134">
        <v>3</v>
      </c>
      <c r="P54" s="134"/>
      <c r="Q54" s="134">
        <v>3</v>
      </c>
      <c r="R54" s="134">
        <v>2.5</v>
      </c>
      <c r="S54" s="134">
        <v>1</v>
      </c>
      <c r="T54" s="134">
        <v>7</v>
      </c>
      <c r="U54" s="134"/>
      <c r="V54" s="134"/>
      <c r="W54" s="134"/>
      <c r="X54" s="51">
        <f t="shared" si="13"/>
        <v>-15</v>
      </c>
      <c r="Y54" s="188">
        <f t="shared" si="14"/>
        <v>0.16666666666666666</v>
      </c>
      <c r="Z54" s="134">
        <v>27.5</v>
      </c>
      <c r="AA54" s="134">
        <v>23.5</v>
      </c>
      <c r="AB54" s="134">
        <v>18</v>
      </c>
      <c r="AC54" s="134"/>
      <c r="AD54" s="134">
        <v>2.5</v>
      </c>
      <c r="AE54" s="134"/>
      <c r="AF54" s="134">
        <v>7</v>
      </c>
      <c r="AG54" s="134"/>
      <c r="AH54" s="134"/>
      <c r="AI54" s="134"/>
      <c r="AJ54" s="51">
        <f t="shared" si="15"/>
        <v>-18</v>
      </c>
      <c r="AK54" s="189">
        <f t="shared" si="16"/>
        <v>0</v>
      </c>
      <c r="AL54" s="134">
        <v>27.5</v>
      </c>
      <c r="AM54" s="134">
        <v>23.5</v>
      </c>
      <c r="AN54" s="134">
        <v>18</v>
      </c>
      <c r="AO54" s="134"/>
      <c r="AP54" s="134">
        <v>2.5</v>
      </c>
      <c r="AQ54" s="134"/>
      <c r="AR54" s="134">
        <v>7</v>
      </c>
      <c r="AS54" s="134"/>
      <c r="AT54" s="134"/>
      <c r="AU54" s="134"/>
      <c r="AV54" s="51">
        <f t="shared" si="17"/>
        <v>-18</v>
      </c>
      <c r="AW54" s="189">
        <f t="shared" si="18"/>
        <v>0</v>
      </c>
      <c r="AX54" s="31">
        <v>27.5</v>
      </c>
      <c r="AY54" s="31">
        <v>29</v>
      </c>
      <c r="AZ54" s="109"/>
      <c r="BA54" s="62"/>
      <c r="BB54" s="62"/>
      <c r="BC54" s="62"/>
      <c r="BD54" s="62"/>
      <c r="BE54" s="110"/>
      <c r="BF54" s="109"/>
      <c r="BG54" s="62"/>
      <c r="BH54" s="62"/>
      <c r="BI54" s="110"/>
      <c r="BJ54" s="426">
        <f t="shared" si="20"/>
        <v>0</v>
      </c>
      <c r="BK54" s="467" t="e">
        <f t="shared" si="21"/>
        <v>#DIV/0!</v>
      </c>
      <c r="BL54" s="428"/>
      <c r="BM54" s="61">
        <v>23.5</v>
      </c>
      <c r="BN54" s="62"/>
      <c r="BO54" s="429"/>
      <c r="BP54" s="64"/>
      <c r="BQ54" s="61"/>
      <c r="BR54" s="479"/>
      <c r="BS54" s="66"/>
      <c r="BT54" s="64"/>
      <c r="BU54" s="61"/>
      <c r="BV54" s="479"/>
      <c r="BW54" s="66"/>
      <c r="BX54" s="480">
        <v>25</v>
      </c>
      <c r="BY54" s="68">
        <f>F54</f>
        <v>31.5</v>
      </c>
      <c r="BZ54" s="69">
        <f>(M54+BM54+BQ54+BU54)/4</f>
        <v>12</v>
      </c>
      <c r="CA54" s="61">
        <f t="shared" si="22"/>
        <v>-19.5</v>
      </c>
      <c r="CB54" s="71">
        <f t="shared" si="23"/>
        <v>0.38095238095238093</v>
      </c>
      <c r="CC54" s="72">
        <f t="shared" si="12"/>
        <v>-17.5</v>
      </c>
      <c r="CD54" s="434">
        <v>21</v>
      </c>
      <c r="CE54" s="62">
        <v>2.5</v>
      </c>
      <c r="CF54" s="73"/>
      <c r="CG54" s="74"/>
      <c r="CH54" s="74"/>
      <c r="CI54" s="74"/>
      <c r="CJ54" s="74"/>
      <c r="CK54" s="74"/>
      <c r="CL54" s="74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31">
        <v>29.5</v>
      </c>
      <c r="DB54" s="31">
        <v>31.5</v>
      </c>
      <c r="DC54" s="31">
        <v>31.5</v>
      </c>
      <c r="DD54" s="31">
        <v>31.5</v>
      </c>
      <c r="DE54" s="31">
        <v>31.5</v>
      </c>
      <c r="DF54" s="31">
        <v>31.5</v>
      </c>
      <c r="DG54" s="31">
        <v>31.5</v>
      </c>
      <c r="DI54" s="826"/>
      <c r="DJ54" s="788"/>
    </row>
    <row r="55" spans="1:114" s="783" customFormat="1">
      <c r="A55" s="177"/>
      <c r="B55" s="190" t="s">
        <v>39</v>
      </c>
      <c r="C55" s="837" t="s">
        <v>83</v>
      </c>
      <c r="D55" s="31">
        <f t="shared" ref="D55:K55" si="29">D53/D54/12*1000</f>
        <v>20988.30508474576</v>
      </c>
      <c r="E55" s="31">
        <f t="shared" si="29"/>
        <v>20988.30508474576</v>
      </c>
      <c r="F55" s="31">
        <f t="shared" si="29"/>
        <v>23642.936507936509</v>
      </c>
      <c r="G55" s="31">
        <f t="shared" si="29"/>
        <v>24172.619047619046</v>
      </c>
      <c r="H55" s="134">
        <f t="shared" si="29"/>
        <v>18611.111111111109</v>
      </c>
      <c r="I55" s="134">
        <f t="shared" si="29"/>
        <v>17434.736842105263</v>
      </c>
      <c r="J55" s="134">
        <f t="shared" si="29"/>
        <v>17225.333333333336</v>
      </c>
      <c r="K55" s="134">
        <f t="shared" si="29"/>
        <v>17509.523809523809</v>
      </c>
      <c r="L55" s="134">
        <f t="shared" ref="L55:U55" si="30">L53/L54*1000</f>
        <v>27688.636363636364</v>
      </c>
      <c r="M55" s="134">
        <f t="shared" si="30"/>
        <v>22096.48693877551</v>
      </c>
      <c r="N55" s="134">
        <f t="shared" si="30"/>
        <v>15497.222222222223</v>
      </c>
      <c r="O55" s="134">
        <f t="shared" si="30"/>
        <v>104303.33333333334</v>
      </c>
      <c r="P55" s="134"/>
      <c r="Q55" s="134">
        <f>Q53/Q54*1000</f>
        <v>28980</v>
      </c>
      <c r="R55" s="134">
        <f t="shared" si="30"/>
        <v>66252</v>
      </c>
      <c r="S55" s="134">
        <f t="shared" si="30"/>
        <v>130360.00000000001</v>
      </c>
      <c r="T55" s="134">
        <f t="shared" si="30"/>
        <v>17509.523809523809</v>
      </c>
      <c r="U55" s="134" t="e">
        <f t="shared" si="30"/>
        <v>#DIV/0!</v>
      </c>
      <c r="V55" s="134"/>
      <c r="W55" s="134"/>
      <c r="X55" s="51">
        <f t="shared" si="13"/>
        <v>88806.111111111124</v>
      </c>
      <c r="Y55" s="188">
        <f t="shared" si="14"/>
        <v>6.7304534862878658</v>
      </c>
      <c r="Z55" s="134">
        <f t="shared" ref="Z55:AG55" si="31">Z53/Z54*1000</f>
        <v>18204.727272727272</v>
      </c>
      <c r="AA55" s="134">
        <f t="shared" si="31"/>
        <v>20920.106808510638</v>
      </c>
      <c r="AB55" s="134">
        <f t="shared" si="31"/>
        <v>18611.111111111109</v>
      </c>
      <c r="AC55" s="134" t="e">
        <f t="shared" si="31"/>
        <v>#DIV/0!</v>
      </c>
      <c r="AD55" s="134">
        <f t="shared" si="31"/>
        <v>17225.41332</v>
      </c>
      <c r="AE55" s="134" t="e">
        <f t="shared" si="31"/>
        <v>#DIV/0!</v>
      </c>
      <c r="AF55" s="134">
        <f t="shared" si="31"/>
        <v>17509.999999999996</v>
      </c>
      <c r="AG55" s="134" t="e">
        <f t="shared" si="31"/>
        <v>#DIV/0!</v>
      </c>
      <c r="AH55" s="134"/>
      <c r="AI55" s="134"/>
      <c r="AJ55" s="51" t="e">
        <f t="shared" si="15"/>
        <v>#DIV/0!</v>
      </c>
      <c r="AK55" s="189" t="e">
        <f t="shared" si="16"/>
        <v>#DIV/0!</v>
      </c>
      <c r="AL55" s="134">
        <f t="shared" ref="AL55:AS55" si="32">AL53/AL54*1000</f>
        <v>18204.727272727272</v>
      </c>
      <c r="AM55" s="134">
        <f t="shared" si="32"/>
        <v>20920.106808510638</v>
      </c>
      <c r="AN55" s="134">
        <f t="shared" si="32"/>
        <v>18611.111111111109</v>
      </c>
      <c r="AO55" s="134" t="e">
        <f t="shared" si="32"/>
        <v>#DIV/0!</v>
      </c>
      <c r="AP55" s="134">
        <f t="shared" si="32"/>
        <v>17225.41332</v>
      </c>
      <c r="AQ55" s="134" t="e">
        <f t="shared" si="32"/>
        <v>#DIV/0!</v>
      </c>
      <c r="AR55" s="134">
        <f t="shared" si="32"/>
        <v>17509.999999999996</v>
      </c>
      <c r="AS55" s="134" t="e">
        <f t="shared" si="32"/>
        <v>#DIV/0!</v>
      </c>
      <c r="AT55" s="134"/>
      <c r="AU55" s="134"/>
      <c r="AV55" s="51" t="e">
        <f t="shared" si="17"/>
        <v>#DIV/0!</v>
      </c>
      <c r="AW55" s="189" t="e">
        <f t="shared" si="18"/>
        <v>#DIV/0!</v>
      </c>
      <c r="AX55" s="31">
        <f>AX53/AX54/6*1000</f>
        <v>27688.636363636364</v>
      </c>
      <c r="AY55" s="31">
        <f>AY53/AY54/12*1000</f>
        <v>21944.281609195401</v>
      </c>
      <c r="AZ55" s="109" t="e">
        <f>AZ53/AZ54/3*1000</f>
        <v>#DIV/0!</v>
      </c>
      <c r="BA55" s="62"/>
      <c r="BB55" s="62"/>
      <c r="BC55" s="62"/>
      <c r="BD55" s="62"/>
      <c r="BE55" s="110"/>
      <c r="BF55" s="109"/>
      <c r="BG55" s="62"/>
      <c r="BH55" s="62"/>
      <c r="BI55" s="110"/>
      <c r="BJ55" s="426" t="e">
        <f t="shared" si="20"/>
        <v>#DIV/0!</v>
      </c>
      <c r="BK55" s="467" t="e">
        <f t="shared" si="21"/>
        <v>#DIV/0!</v>
      </c>
      <c r="BL55" s="428"/>
      <c r="BM55" s="61">
        <f>BM53/BM54*1000</f>
        <v>20920.106808510638</v>
      </c>
      <c r="BN55" s="62"/>
      <c r="BO55" s="429"/>
      <c r="BP55" s="64"/>
      <c r="BQ55" s="61"/>
      <c r="BR55" s="479"/>
      <c r="BS55" s="66"/>
      <c r="BT55" s="64"/>
      <c r="BU55" s="61"/>
      <c r="BV55" s="479"/>
      <c r="BW55" s="66"/>
      <c r="BX55" s="431">
        <v>19642.13</v>
      </c>
      <c r="BY55" s="68">
        <f>F55</f>
        <v>23642.936507936509</v>
      </c>
      <c r="BZ55" s="69">
        <f>(M55+BM55+BQ55+BU55)/4</f>
        <v>10754.148436821537</v>
      </c>
      <c r="CA55" s="61">
        <f t="shared" si="22"/>
        <v>-12888.788071114972</v>
      </c>
      <c r="CB55" s="71">
        <f t="shared" si="23"/>
        <v>0.45485671516359916</v>
      </c>
      <c r="CC55" s="72">
        <f t="shared" si="12"/>
        <v>-10234.156647924223</v>
      </c>
      <c r="CD55" s="434">
        <f>CD53/CD54/12*1000</f>
        <v>1571.6922222222217</v>
      </c>
      <c r="CE55" s="62">
        <f>CE53/CE54/12*1000</f>
        <v>21230.666666666664</v>
      </c>
      <c r="CF55" s="73"/>
      <c r="CG55" s="74"/>
      <c r="CH55" s="74"/>
      <c r="CI55" s="74"/>
      <c r="CJ55" s="74"/>
      <c r="CK55" s="74"/>
      <c r="CL55" s="74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31">
        <f>DA53/DA54/12*1000</f>
        <v>20988.30508474576</v>
      </c>
      <c r="DB55" s="31">
        <f>DB53/DB54/12*1000</f>
        <v>24172.619047619046</v>
      </c>
      <c r="DC55" s="31">
        <f>DC53/DC54/12*1000</f>
        <v>24172.619047619046</v>
      </c>
      <c r="DD55" s="31">
        <f>DD53/DD54/12*1000</f>
        <v>24172.619047619046</v>
      </c>
      <c r="DE55" s="31">
        <f>DE53/DE54/12*1000</f>
        <v>24172.619047619046</v>
      </c>
      <c r="DF55" s="31">
        <v>24172.62</v>
      </c>
      <c r="DG55" s="31">
        <v>24172.62</v>
      </c>
      <c r="DI55" s="826"/>
      <c r="DJ55" s="788"/>
    </row>
    <row r="56" spans="1:114" s="783" customFormat="1" ht="12" customHeight="1">
      <c r="A56" s="177"/>
      <c r="B56" s="187" t="s">
        <v>92</v>
      </c>
      <c r="C56" s="837" t="s">
        <v>54</v>
      </c>
      <c r="D56" s="31">
        <f>D53*20.3/100</f>
        <v>1508.2615799999999</v>
      </c>
      <c r="E56" s="31">
        <f>E53*20.3/100</f>
        <v>1508.2615799999999</v>
      </c>
      <c r="F56" s="31">
        <f>F53*20.3/100</f>
        <v>1814.2170899999996</v>
      </c>
      <c r="G56" s="31">
        <f>G53*20.3/100</f>
        <v>1854.8617500000003</v>
      </c>
      <c r="H56" s="134">
        <v>816.06</v>
      </c>
      <c r="I56" s="134">
        <v>403.47</v>
      </c>
      <c r="J56" s="134">
        <v>104.9</v>
      </c>
      <c r="K56" s="134">
        <v>298.57</v>
      </c>
      <c r="L56" s="134">
        <f>G56/12</f>
        <v>154.57181250000002</v>
      </c>
      <c r="M56" s="134">
        <v>109.89687000000001</v>
      </c>
      <c r="N56" s="134">
        <v>56.63</v>
      </c>
      <c r="O56" s="134">
        <v>63.53</v>
      </c>
      <c r="P56" s="134">
        <v>11.38</v>
      </c>
      <c r="Q56" s="134">
        <v>17.649999999999999</v>
      </c>
      <c r="R56" s="134">
        <v>33.619999999999997</v>
      </c>
      <c r="S56" s="134">
        <v>26.46</v>
      </c>
      <c r="T56" s="134">
        <f>K56/12</f>
        <v>24.880833333333332</v>
      </c>
      <c r="U56" s="134"/>
      <c r="V56" s="134">
        <v>2.2599999999999998</v>
      </c>
      <c r="W56" s="134"/>
      <c r="X56" s="51">
        <f t="shared" si="13"/>
        <v>6.8999999999999986</v>
      </c>
      <c r="Y56" s="188">
        <f t="shared" si="14"/>
        <v>1.1218435458237683</v>
      </c>
      <c r="Z56" s="134">
        <v>101.63</v>
      </c>
      <c r="AA56" s="134">
        <v>99.433999999999997</v>
      </c>
      <c r="AB56" s="134">
        <v>68.010000000000005</v>
      </c>
      <c r="AC56" s="134"/>
      <c r="AD56" s="134">
        <v>8.7416666666600005</v>
      </c>
      <c r="AE56" s="134"/>
      <c r="AF56" s="134">
        <v>24.88</v>
      </c>
      <c r="AG56" s="134"/>
      <c r="AH56" s="134"/>
      <c r="AI56" s="134"/>
      <c r="AJ56" s="51">
        <f t="shared" si="15"/>
        <v>-68.010000000000005</v>
      </c>
      <c r="AK56" s="189">
        <f t="shared" si="16"/>
        <v>0</v>
      </c>
      <c r="AL56" s="134">
        <v>101.63</v>
      </c>
      <c r="AM56" s="134">
        <v>99.433999999999997</v>
      </c>
      <c r="AN56" s="134">
        <v>68.010000000000005</v>
      </c>
      <c r="AO56" s="134"/>
      <c r="AP56" s="134">
        <v>8.7416666666600005</v>
      </c>
      <c r="AQ56" s="134"/>
      <c r="AR56" s="134">
        <v>24.88</v>
      </c>
      <c r="AS56" s="134"/>
      <c r="AT56" s="134"/>
      <c r="AU56" s="134"/>
      <c r="AV56" s="51">
        <f t="shared" si="17"/>
        <v>-68.010000000000005</v>
      </c>
      <c r="AW56" s="189">
        <f t="shared" si="18"/>
        <v>0</v>
      </c>
      <c r="AX56" s="31">
        <f>G56/2</f>
        <v>927.43087500000013</v>
      </c>
      <c r="AY56" s="31">
        <v>1550.24</v>
      </c>
      <c r="AZ56" s="109"/>
      <c r="BA56" s="62">
        <v>698.96</v>
      </c>
      <c r="BB56" s="62">
        <f t="shared" ref="BB56:BG56" si="33">BB53*20.3/100</f>
        <v>0</v>
      </c>
      <c r="BC56" s="62">
        <v>550.41999999999996</v>
      </c>
      <c r="BD56" s="62">
        <f t="shared" si="33"/>
        <v>0</v>
      </c>
      <c r="BE56" s="110">
        <v>177.42</v>
      </c>
      <c r="BF56" s="109">
        <f t="shared" si="33"/>
        <v>48.728119999999997</v>
      </c>
      <c r="BG56" s="62">
        <f t="shared" si="33"/>
        <v>70.059360000000012</v>
      </c>
      <c r="BH56" s="62"/>
      <c r="BI56" s="110"/>
      <c r="BJ56" s="426">
        <f t="shared" si="20"/>
        <v>698.96</v>
      </c>
      <c r="BK56" s="467" t="e">
        <f t="shared" si="21"/>
        <v>#DIV/0!</v>
      </c>
      <c r="BL56" s="428"/>
      <c r="BM56" s="61">
        <v>97.964879999999994</v>
      </c>
      <c r="BN56" s="62"/>
      <c r="BO56" s="429"/>
      <c r="BP56" s="64"/>
      <c r="BQ56" s="61"/>
      <c r="BR56" s="479"/>
      <c r="BS56" s="66"/>
      <c r="BT56" s="64"/>
      <c r="BU56" s="61"/>
      <c r="BV56" s="479"/>
      <c r="BW56" s="66"/>
      <c r="BX56" s="431"/>
      <c r="BY56" s="68">
        <f>F56</f>
        <v>1814.2170899999996</v>
      </c>
      <c r="BZ56" s="69">
        <f>M56+BM56+BQ56+BU56</f>
        <v>207.86175</v>
      </c>
      <c r="CA56" s="61">
        <f t="shared" si="22"/>
        <v>-1606.3553399999996</v>
      </c>
      <c r="CB56" s="71">
        <f t="shared" si="23"/>
        <v>0.11457380219034319</v>
      </c>
      <c r="CC56" s="72">
        <f t="shared" si="12"/>
        <v>-1300.3998299999998</v>
      </c>
      <c r="CD56" s="434">
        <f>BZ56-CE56</f>
        <v>78.571750000000009</v>
      </c>
      <c r="CE56" s="62">
        <v>129.29</v>
      </c>
      <c r="CF56" s="73"/>
      <c r="CG56" s="74"/>
      <c r="CH56" s="74"/>
      <c r="CI56" s="74"/>
      <c r="CJ56" s="74"/>
      <c r="CK56" s="74"/>
      <c r="CL56" s="74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31">
        <f t="shared" ref="DA56:DG56" si="34">DA53*20.3/100</f>
        <v>1508.2615799999999</v>
      </c>
      <c r="DB56" s="31">
        <f t="shared" si="34"/>
        <v>1854.8617500000003</v>
      </c>
      <c r="DC56" s="31">
        <f t="shared" si="34"/>
        <v>1854.8617500000003</v>
      </c>
      <c r="DD56" s="31">
        <f t="shared" si="34"/>
        <v>1854.8617500000003</v>
      </c>
      <c r="DE56" s="31">
        <f t="shared" si="34"/>
        <v>1854.8617500000003</v>
      </c>
      <c r="DF56" s="31">
        <f t="shared" si="34"/>
        <v>927.43188999999995</v>
      </c>
      <c r="DG56" s="31">
        <f t="shared" si="34"/>
        <v>927.42986000000008</v>
      </c>
      <c r="DI56" s="826"/>
      <c r="DJ56" s="788"/>
    </row>
    <row r="57" spans="1:114" s="783" customFormat="1" ht="24" customHeight="1">
      <c r="A57" s="177" t="s">
        <v>253</v>
      </c>
      <c r="B57" s="178" t="s">
        <v>12</v>
      </c>
      <c r="C57" s="834" t="s">
        <v>54</v>
      </c>
      <c r="D57" s="179">
        <f>SUM(D58:D67)</f>
        <v>1350.56</v>
      </c>
      <c r="E57" s="179">
        <v>1847.57</v>
      </c>
      <c r="F57" s="179">
        <f>SUM(F58:F67)</f>
        <v>1847.57</v>
      </c>
      <c r="G57" s="179">
        <v>1847.57</v>
      </c>
      <c r="H57" s="180">
        <f>SUM(H58:H67)</f>
        <v>118.33</v>
      </c>
      <c r="I57" s="180">
        <f>SUM(I58:I67)</f>
        <v>0</v>
      </c>
      <c r="J57" s="180">
        <f>SUM(J58:J67)</f>
        <v>0</v>
      </c>
      <c r="K57" s="180">
        <f>SUM(K58:K67)</f>
        <v>0</v>
      </c>
      <c r="L57" s="180">
        <f>G57/12</f>
        <v>153.96416666666667</v>
      </c>
      <c r="M57" s="180">
        <f>SUM(M58:M67)</f>
        <v>5.5</v>
      </c>
      <c r="N57" s="180">
        <v>34.83</v>
      </c>
      <c r="O57" s="180">
        <v>44.24</v>
      </c>
      <c r="P57" s="180">
        <v>7</v>
      </c>
      <c r="Q57" s="180">
        <v>0</v>
      </c>
      <c r="R57" s="180">
        <v>44.5</v>
      </c>
      <c r="S57" s="180">
        <v>22.12</v>
      </c>
      <c r="T57" s="180">
        <f>SUM(T58:T67)</f>
        <v>0</v>
      </c>
      <c r="U57" s="180">
        <f>SUM(U58:U67)</f>
        <v>0</v>
      </c>
      <c r="V57" s="180">
        <v>0</v>
      </c>
      <c r="W57" s="180"/>
      <c r="X57" s="181">
        <f>O57-N57</f>
        <v>9.4100000000000037</v>
      </c>
      <c r="Y57" s="191">
        <f>O57/N57</f>
        <v>1.270169394200402</v>
      </c>
      <c r="Z57" s="180">
        <f t="shared" ref="Z57:AH57" si="35">SUM(Z58:Z67)</f>
        <v>9.86</v>
      </c>
      <c r="AA57" s="180">
        <f t="shared" si="35"/>
        <v>17.5</v>
      </c>
      <c r="AB57" s="180">
        <f t="shared" si="35"/>
        <v>9.86</v>
      </c>
      <c r="AC57" s="180">
        <f t="shared" si="35"/>
        <v>0</v>
      </c>
      <c r="AD57" s="180">
        <f t="shared" si="35"/>
        <v>0</v>
      </c>
      <c r="AE57" s="180">
        <f t="shared" si="35"/>
        <v>0</v>
      </c>
      <c r="AF57" s="180">
        <f t="shared" si="35"/>
        <v>0</v>
      </c>
      <c r="AG57" s="180">
        <f t="shared" si="35"/>
        <v>0</v>
      </c>
      <c r="AH57" s="180">
        <f t="shared" si="35"/>
        <v>0</v>
      </c>
      <c r="AI57" s="180"/>
      <c r="AJ57" s="181">
        <f>AC57-AB57</f>
        <v>-9.86</v>
      </c>
      <c r="AK57" s="192">
        <f>AC57/AB57</f>
        <v>0</v>
      </c>
      <c r="AL57" s="180">
        <f t="shared" ref="AL57:AT57" si="36">SUM(AL58:AL67)</f>
        <v>9.86</v>
      </c>
      <c r="AM57" s="180">
        <f t="shared" si="36"/>
        <v>17.5</v>
      </c>
      <c r="AN57" s="180">
        <f t="shared" si="36"/>
        <v>9.86</v>
      </c>
      <c r="AO57" s="180">
        <f t="shared" si="36"/>
        <v>0</v>
      </c>
      <c r="AP57" s="180">
        <f t="shared" si="36"/>
        <v>0</v>
      </c>
      <c r="AQ57" s="180">
        <f t="shared" si="36"/>
        <v>0</v>
      </c>
      <c r="AR57" s="180">
        <f t="shared" si="36"/>
        <v>0</v>
      </c>
      <c r="AS57" s="180">
        <f t="shared" si="36"/>
        <v>0</v>
      </c>
      <c r="AT57" s="180">
        <f t="shared" si="36"/>
        <v>0</v>
      </c>
      <c r="AU57" s="180"/>
      <c r="AV57" s="181">
        <f>AO57-AN57</f>
        <v>-9.86</v>
      </c>
      <c r="AW57" s="192">
        <f>AO57/AN57</f>
        <v>0</v>
      </c>
      <c r="AX57" s="179">
        <f>G57/2</f>
        <v>923.78499999999997</v>
      </c>
      <c r="AY57" s="179">
        <f>SUM(AY58:AY67)</f>
        <v>1193.78</v>
      </c>
      <c r="AZ57" s="184">
        <f>SUM(AZ58:AZ67)</f>
        <v>0</v>
      </c>
      <c r="BA57" s="185">
        <f>SUM(BA58:BA67)</f>
        <v>1006.25</v>
      </c>
      <c r="BB57" s="185">
        <f t="shared" ref="BB57:BG57" si="37">SUM(BB58:BB67)</f>
        <v>0</v>
      </c>
      <c r="BC57" s="185">
        <f t="shared" si="37"/>
        <v>470.48</v>
      </c>
      <c r="BD57" s="185">
        <f t="shared" si="37"/>
        <v>0</v>
      </c>
      <c r="BE57" s="186">
        <f t="shared" si="37"/>
        <v>0</v>
      </c>
      <c r="BF57" s="184">
        <f t="shared" si="37"/>
        <v>110.56999999999998</v>
      </c>
      <c r="BG57" s="185">
        <f t="shared" si="37"/>
        <v>108.83000000000001</v>
      </c>
      <c r="BH57" s="185"/>
      <c r="BI57" s="186"/>
      <c r="BJ57" s="426">
        <f t="shared" si="20"/>
        <v>1006.25</v>
      </c>
      <c r="BK57" s="481" t="e">
        <f>BA57/AZ57</f>
        <v>#DIV/0!</v>
      </c>
      <c r="BL57" s="468"/>
      <c r="BM57" s="469">
        <f>SUM(BM58:BM67)</f>
        <v>17.5</v>
      </c>
      <c r="BN57" s="264"/>
      <c r="BO57" s="470"/>
      <c r="BP57" s="471"/>
      <c r="BQ57" s="469"/>
      <c r="BR57" s="472"/>
      <c r="BS57" s="473"/>
      <c r="BT57" s="471"/>
      <c r="BU57" s="469"/>
      <c r="BV57" s="472"/>
      <c r="BW57" s="473"/>
      <c r="BX57" s="474">
        <v>748.07</v>
      </c>
      <c r="BY57" s="475">
        <f>F57</f>
        <v>1847.57</v>
      </c>
      <c r="BZ57" s="320">
        <f>M57+BM57+BQ57+BU57</f>
        <v>23</v>
      </c>
      <c r="CA57" s="469">
        <f>BZ57-BY57</f>
        <v>-1824.57</v>
      </c>
      <c r="CB57" s="476">
        <f>BZ57/BY57</f>
        <v>1.2448784078546415E-2</v>
      </c>
      <c r="CC57" s="307">
        <f t="shared" si="12"/>
        <v>-1824.57</v>
      </c>
      <c r="CD57" s="477">
        <f>SUM(CD58:CD67)</f>
        <v>125.5</v>
      </c>
      <c r="CE57" s="185">
        <f>SUM(CE58:CE67)</f>
        <v>0</v>
      </c>
      <c r="CF57" s="478"/>
      <c r="CG57" s="465"/>
      <c r="CH57" s="465"/>
      <c r="CI57" s="465"/>
      <c r="CJ57" s="465"/>
      <c r="CK57" s="465"/>
      <c r="CL57" s="465"/>
      <c r="CM57" s="466"/>
      <c r="CN57" s="466"/>
      <c r="CO57" s="466"/>
      <c r="CP57" s="466"/>
      <c r="CQ57" s="466"/>
      <c r="CR57" s="466"/>
      <c r="CS57" s="466"/>
      <c r="CT57" s="466"/>
      <c r="CU57" s="466"/>
      <c r="CV57" s="466"/>
      <c r="CW57" s="466"/>
      <c r="CX57" s="466"/>
      <c r="CY57" s="466"/>
      <c r="CZ57" s="466"/>
      <c r="DA57" s="179">
        <f t="shared" ref="DA57:DG57" si="38">SUM(DA58:DA67)</f>
        <v>1847.57</v>
      </c>
      <c r="DB57" s="179">
        <f t="shared" si="38"/>
        <v>1847.57</v>
      </c>
      <c r="DC57" s="179">
        <f t="shared" si="38"/>
        <v>1847.57</v>
      </c>
      <c r="DD57" s="179">
        <f t="shared" si="38"/>
        <v>1354.41</v>
      </c>
      <c r="DE57" s="179">
        <f t="shared" si="38"/>
        <v>1847.57</v>
      </c>
      <c r="DF57" s="179">
        <f t="shared" si="38"/>
        <v>923.79000000000008</v>
      </c>
      <c r="DG57" s="179">
        <f t="shared" si="38"/>
        <v>923.78000000000009</v>
      </c>
      <c r="DI57" s="826"/>
      <c r="DJ57" s="788"/>
    </row>
    <row r="58" spans="1:114" s="783" customFormat="1" hidden="1">
      <c r="A58" s="47"/>
      <c r="B58" s="187" t="s">
        <v>176</v>
      </c>
      <c r="C58" s="836" t="s">
        <v>54</v>
      </c>
      <c r="D58" s="31">
        <v>201.05</v>
      </c>
      <c r="E58" s="31">
        <v>264.91000000000003</v>
      </c>
      <c r="F58" s="31">
        <v>264.91000000000003</v>
      </c>
      <c r="G58" s="31">
        <v>264.91000000000003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54"/>
      <c r="Y58" s="55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54"/>
      <c r="AK58" s="56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54"/>
      <c r="AW58" s="56"/>
      <c r="AX58" s="31"/>
      <c r="AY58" s="31">
        <v>437.43</v>
      </c>
      <c r="AZ58" s="109"/>
      <c r="BA58" s="62">
        <v>119.61</v>
      </c>
      <c r="BB58" s="62"/>
      <c r="BC58" s="62">
        <v>188.94</v>
      </c>
      <c r="BD58" s="62"/>
      <c r="BE58" s="110"/>
      <c r="BF58" s="109">
        <f>21.06+63.65-20+14.52</f>
        <v>79.22999999999999</v>
      </c>
      <c r="BG58" s="62">
        <f>93.33-12.13</f>
        <v>81.2</v>
      </c>
      <c r="BH58" s="62"/>
      <c r="BI58" s="110"/>
      <c r="BJ58" s="59"/>
      <c r="BK58" s="46"/>
      <c r="BL58" s="428"/>
      <c r="BM58" s="61"/>
      <c r="BN58" s="62"/>
      <c r="BO58" s="63"/>
      <c r="BP58" s="64"/>
      <c r="BQ58" s="61"/>
      <c r="BR58" s="65"/>
      <c r="BS58" s="66"/>
      <c r="BT58" s="64"/>
      <c r="BU58" s="61"/>
      <c r="BV58" s="65"/>
      <c r="BW58" s="66"/>
      <c r="BX58" s="431"/>
      <c r="BY58" s="68">
        <f>F58</f>
        <v>264.91000000000003</v>
      </c>
      <c r="BZ58" s="69"/>
      <c r="CA58" s="70"/>
      <c r="CB58" s="71"/>
      <c r="CC58" s="72"/>
      <c r="CD58" s="434"/>
      <c r="CE58" s="62"/>
      <c r="CF58" s="73"/>
      <c r="CG58" s="74"/>
      <c r="CH58" s="74"/>
      <c r="CI58" s="74"/>
      <c r="CJ58" s="74"/>
      <c r="CK58" s="74"/>
      <c r="CL58" s="74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31">
        <v>264.91000000000003</v>
      </c>
      <c r="DB58" s="31">
        <v>264.91000000000003</v>
      </c>
      <c r="DC58" s="31">
        <f>264.91-6-17.85</f>
        <v>241.06000000000003</v>
      </c>
      <c r="DD58" s="31">
        <f>264.91-6-17.85</f>
        <v>241.06000000000003</v>
      </c>
      <c r="DE58" s="31">
        <f>264.91-6-17.85</f>
        <v>241.06000000000003</v>
      </c>
      <c r="DF58" s="31">
        <v>120.53</v>
      </c>
      <c r="DG58" s="134">
        <f t="shared" ref="DG58:DG63" si="39">DF58</f>
        <v>120.53</v>
      </c>
      <c r="DI58" s="826"/>
      <c r="DJ58" s="788"/>
    </row>
    <row r="59" spans="1:114" s="783" customFormat="1" ht="24" hidden="1">
      <c r="A59" s="47"/>
      <c r="B59" s="187" t="s">
        <v>275</v>
      </c>
      <c r="C59" s="836" t="s">
        <v>54</v>
      </c>
      <c r="D59" s="31">
        <v>685.51</v>
      </c>
      <c r="E59" s="31">
        <v>607.58000000000004</v>
      </c>
      <c r="F59" s="31">
        <v>607.58000000000004</v>
      </c>
      <c r="G59" s="31">
        <v>607.58000000000004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51"/>
      <c r="Y59" s="55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51"/>
      <c r="AK59" s="56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51"/>
      <c r="AW59" s="56"/>
      <c r="AX59" s="31"/>
      <c r="AY59" s="31">
        <v>591</v>
      </c>
      <c r="AZ59" s="109"/>
      <c r="BA59" s="62">
        <v>381.73</v>
      </c>
      <c r="BB59" s="62"/>
      <c r="BC59" s="62">
        <v>246.3</v>
      </c>
      <c r="BD59" s="62"/>
      <c r="BE59" s="110"/>
      <c r="BF59" s="109">
        <v>29.04</v>
      </c>
      <c r="BG59" s="62"/>
      <c r="BH59" s="62"/>
      <c r="BI59" s="110"/>
      <c r="BJ59" s="59"/>
      <c r="BK59" s="46"/>
      <c r="BL59" s="428"/>
      <c r="BM59" s="61"/>
      <c r="BN59" s="62"/>
      <c r="BO59" s="63"/>
      <c r="BP59" s="64"/>
      <c r="BQ59" s="61"/>
      <c r="BR59" s="65"/>
      <c r="BS59" s="66"/>
      <c r="BT59" s="64"/>
      <c r="BU59" s="61"/>
      <c r="BV59" s="65"/>
      <c r="BW59" s="66"/>
      <c r="BX59" s="431"/>
      <c r="BY59" s="68"/>
      <c r="BZ59" s="69"/>
      <c r="CA59" s="70"/>
      <c r="CB59" s="71"/>
      <c r="CC59" s="72"/>
      <c r="CD59" s="434"/>
      <c r="CE59" s="62"/>
      <c r="CF59" s="73"/>
      <c r="CG59" s="74"/>
      <c r="CH59" s="74"/>
      <c r="CI59" s="74"/>
      <c r="CJ59" s="74"/>
      <c r="CK59" s="74"/>
      <c r="CL59" s="74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31">
        <v>607.58000000000004</v>
      </c>
      <c r="DB59" s="31">
        <v>607.58000000000004</v>
      </c>
      <c r="DC59" s="31">
        <v>607.58000000000004</v>
      </c>
      <c r="DD59" s="31">
        <v>596.4</v>
      </c>
      <c r="DE59" s="31">
        <v>607.58000000000004</v>
      </c>
      <c r="DF59" s="31">
        <v>303.79000000000002</v>
      </c>
      <c r="DG59" s="134">
        <f t="shared" si="39"/>
        <v>303.79000000000002</v>
      </c>
      <c r="DI59" s="826"/>
      <c r="DJ59" s="788"/>
    </row>
    <row r="60" spans="1:114" s="783" customFormat="1" hidden="1">
      <c r="A60" s="47"/>
      <c r="B60" s="187" t="s">
        <v>305</v>
      </c>
      <c r="C60" s="836" t="s">
        <v>54</v>
      </c>
      <c r="D60" s="31"/>
      <c r="E60" s="31"/>
      <c r="F60" s="31"/>
      <c r="G60" s="31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51"/>
      <c r="Y60" s="55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51"/>
      <c r="AK60" s="56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51"/>
      <c r="AW60" s="56"/>
      <c r="AX60" s="31"/>
      <c r="AY60" s="31">
        <v>6</v>
      </c>
      <c r="AZ60" s="109"/>
      <c r="BA60" s="62"/>
      <c r="BB60" s="62"/>
      <c r="BC60" s="62"/>
      <c r="BD60" s="62"/>
      <c r="BE60" s="110"/>
      <c r="BF60" s="109"/>
      <c r="BG60" s="62"/>
      <c r="BH60" s="62"/>
      <c r="BI60" s="110"/>
      <c r="BJ60" s="59"/>
      <c r="BK60" s="46"/>
      <c r="BL60" s="428"/>
      <c r="BM60" s="61"/>
      <c r="BN60" s="62"/>
      <c r="BO60" s="63"/>
      <c r="BP60" s="64"/>
      <c r="BQ60" s="61"/>
      <c r="BR60" s="65"/>
      <c r="BS60" s="66"/>
      <c r="BT60" s="64"/>
      <c r="BU60" s="61"/>
      <c r="BV60" s="65"/>
      <c r="BW60" s="66"/>
      <c r="BX60" s="431"/>
      <c r="BY60" s="68"/>
      <c r="BZ60" s="69"/>
      <c r="CA60" s="70"/>
      <c r="CB60" s="71"/>
      <c r="CC60" s="72"/>
      <c r="CD60" s="434"/>
      <c r="CE60" s="62"/>
      <c r="CF60" s="73"/>
      <c r="CG60" s="74"/>
      <c r="CH60" s="74"/>
      <c r="CI60" s="74"/>
      <c r="CJ60" s="74"/>
      <c r="CK60" s="74"/>
      <c r="CL60" s="74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31"/>
      <c r="DB60" s="31">
        <v>6</v>
      </c>
      <c r="DC60" s="31">
        <v>6</v>
      </c>
      <c r="DD60" s="31">
        <v>6</v>
      </c>
      <c r="DE60" s="31">
        <v>6</v>
      </c>
      <c r="DF60" s="31">
        <v>3</v>
      </c>
      <c r="DG60" s="134">
        <f t="shared" si="39"/>
        <v>3</v>
      </c>
      <c r="DI60" s="826"/>
      <c r="DJ60" s="788"/>
    </row>
    <row r="61" spans="1:114" s="783" customFormat="1" hidden="1">
      <c r="A61" s="47"/>
      <c r="B61" s="187" t="s">
        <v>306</v>
      </c>
      <c r="C61" s="836" t="s">
        <v>54</v>
      </c>
      <c r="D61" s="31"/>
      <c r="E61" s="31"/>
      <c r="F61" s="31"/>
      <c r="G61" s="31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51"/>
      <c r="Y61" s="55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51"/>
      <c r="AK61" s="56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51"/>
      <c r="AW61" s="56"/>
      <c r="AX61" s="31"/>
      <c r="AY61" s="31">
        <v>17.850000000000001</v>
      </c>
      <c r="AZ61" s="109"/>
      <c r="BA61" s="62"/>
      <c r="BB61" s="62"/>
      <c r="BC61" s="62"/>
      <c r="BD61" s="62"/>
      <c r="BE61" s="110"/>
      <c r="BF61" s="109"/>
      <c r="BG61" s="62"/>
      <c r="BH61" s="62"/>
      <c r="BI61" s="110"/>
      <c r="BJ61" s="59"/>
      <c r="BK61" s="46"/>
      <c r="BL61" s="428"/>
      <c r="BM61" s="61"/>
      <c r="BN61" s="62"/>
      <c r="BO61" s="63"/>
      <c r="BP61" s="64"/>
      <c r="BQ61" s="61"/>
      <c r="BR61" s="65"/>
      <c r="BS61" s="66"/>
      <c r="BT61" s="64"/>
      <c r="BU61" s="61"/>
      <c r="BV61" s="65"/>
      <c r="BW61" s="66"/>
      <c r="BX61" s="431"/>
      <c r="BY61" s="68"/>
      <c r="BZ61" s="69"/>
      <c r="CA61" s="70"/>
      <c r="CB61" s="71"/>
      <c r="CC61" s="72"/>
      <c r="CD61" s="434"/>
      <c r="CE61" s="62"/>
      <c r="CF61" s="73"/>
      <c r="CG61" s="74"/>
      <c r="CH61" s="74"/>
      <c r="CI61" s="74"/>
      <c r="CJ61" s="74"/>
      <c r="CK61" s="74"/>
      <c r="CL61" s="74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31"/>
      <c r="DB61" s="31">
        <v>17.850000000000001</v>
      </c>
      <c r="DC61" s="31">
        <v>17.850000000000001</v>
      </c>
      <c r="DD61" s="31">
        <v>17.850000000000001</v>
      </c>
      <c r="DE61" s="31">
        <v>17.850000000000001</v>
      </c>
      <c r="DF61" s="31">
        <v>8.93</v>
      </c>
      <c r="DG61" s="134">
        <v>8.92</v>
      </c>
      <c r="DI61" s="826"/>
      <c r="DJ61" s="788"/>
    </row>
    <row r="62" spans="1:114" s="783" customFormat="1" hidden="1">
      <c r="A62" s="47"/>
      <c r="B62" s="187" t="s">
        <v>280</v>
      </c>
      <c r="C62" s="836" t="s">
        <v>54</v>
      </c>
      <c r="D62" s="31"/>
      <c r="E62" s="31">
        <v>392.78</v>
      </c>
      <c r="F62" s="31">
        <v>392.78</v>
      </c>
      <c r="G62" s="31">
        <v>392.78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51"/>
      <c r="Y62" s="55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51"/>
      <c r="AK62" s="56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51"/>
      <c r="AW62" s="56"/>
      <c r="AX62" s="31"/>
      <c r="AY62" s="31"/>
      <c r="AZ62" s="109"/>
      <c r="BA62" s="62"/>
      <c r="BB62" s="62"/>
      <c r="BC62" s="62"/>
      <c r="BD62" s="62"/>
      <c r="BE62" s="110"/>
      <c r="BF62" s="109"/>
      <c r="BG62" s="62"/>
      <c r="BH62" s="62"/>
      <c r="BI62" s="110"/>
      <c r="BJ62" s="59"/>
      <c r="BK62" s="46"/>
      <c r="BL62" s="428"/>
      <c r="BM62" s="61"/>
      <c r="BN62" s="62"/>
      <c r="BO62" s="63"/>
      <c r="BP62" s="64"/>
      <c r="BQ62" s="61"/>
      <c r="BR62" s="65"/>
      <c r="BS62" s="66"/>
      <c r="BT62" s="64"/>
      <c r="BU62" s="61"/>
      <c r="BV62" s="65"/>
      <c r="BW62" s="66"/>
      <c r="BX62" s="431"/>
      <c r="BY62" s="68"/>
      <c r="BZ62" s="69"/>
      <c r="CA62" s="70"/>
      <c r="CB62" s="71"/>
      <c r="CC62" s="72"/>
      <c r="CD62" s="434"/>
      <c r="CE62" s="62"/>
      <c r="CF62" s="73"/>
      <c r="CG62" s="74"/>
      <c r="CH62" s="74"/>
      <c r="CI62" s="74"/>
      <c r="CJ62" s="74"/>
      <c r="CK62" s="74"/>
      <c r="CL62" s="74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31">
        <v>392.78</v>
      </c>
      <c r="DB62" s="31">
        <f>392.78-6-17.85</f>
        <v>368.92999999999995</v>
      </c>
      <c r="DC62" s="31">
        <v>392.78</v>
      </c>
      <c r="DD62" s="31">
        <v>142.69999999999999</v>
      </c>
      <c r="DE62" s="31">
        <v>392.78</v>
      </c>
      <c r="DF62" s="31">
        <v>196.39</v>
      </c>
      <c r="DG62" s="134">
        <f t="shared" si="39"/>
        <v>196.39</v>
      </c>
      <c r="DI62" s="826"/>
      <c r="DJ62" s="788"/>
    </row>
    <row r="63" spans="1:114" s="783" customFormat="1" hidden="1">
      <c r="A63" s="47"/>
      <c r="B63" s="187" t="s">
        <v>177</v>
      </c>
      <c r="C63" s="836" t="s">
        <v>54</v>
      </c>
      <c r="D63" s="31">
        <v>315</v>
      </c>
      <c r="E63" s="31">
        <v>397.5</v>
      </c>
      <c r="F63" s="31">
        <v>397.5</v>
      </c>
      <c r="G63" s="31">
        <v>397.5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51"/>
      <c r="Y63" s="55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51"/>
      <c r="AK63" s="56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51"/>
      <c r="AW63" s="56"/>
      <c r="AX63" s="31"/>
      <c r="AY63" s="31"/>
      <c r="AZ63" s="109"/>
      <c r="BA63" s="62">
        <v>378.25</v>
      </c>
      <c r="BB63" s="62"/>
      <c r="BC63" s="62"/>
      <c r="BD63" s="62"/>
      <c r="BE63" s="110"/>
      <c r="BF63" s="109"/>
      <c r="BG63" s="62"/>
      <c r="BH63" s="62"/>
      <c r="BI63" s="110"/>
      <c r="BJ63" s="59"/>
      <c r="BK63" s="46"/>
      <c r="BL63" s="428"/>
      <c r="BM63" s="61"/>
      <c r="BN63" s="62"/>
      <c r="BO63" s="63"/>
      <c r="BP63" s="64"/>
      <c r="BQ63" s="61"/>
      <c r="BR63" s="65"/>
      <c r="BS63" s="66"/>
      <c r="BT63" s="64"/>
      <c r="BU63" s="61"/>
      <c r="BV63" s="65"/>
      <c r="BW63" s="66"/>
      <c r="BX63" s="431"/>
      <c r="BY63" s="68"/>
      <c r="BZ63" s="69"/>
      <c r="CA63" s="70"/>
      <c r="CB63" s="71"/>
      <c r="CC63" s="72"/>
      <c r="CD63" s="434"/>
      <c r="CE63" s="62"/>
      <c r="CF63" s="73"/>
      <c r="CG63" s="74"/>
      <c r="CH63" s="74"/>
      <c r="CI63" s="74"/>
      <c r="CJ63" s="74"/>
      <c r="CK63" s="74"/>
      <c r="CL63" s="74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31">
        <v>397.5</v>
      </c>
      <c r="DB63" s="31">
        <v>397.5</v>
      </c>
      <c r="DC63" s="31">
        <v>397.5</v>
      </c>
      <c r="DD63" s="31">
        <v>203.4</v>
      </c>
      <c r="DE63" s="31">
        <v>397.5</v>
      </c>
      <c r="DF63" s="31">
        <v>198.75</v>
      </c>
      <c r="DG63" s="134">
        <f t="shared" si="39"/>
        <v>198.75</v>
      </c>
      <c r="DI63" s="826"/>
      <c r="DJ63" s="788"/>
    </row>
    <row r="64" spans="1:114" s="783" customFormat="1" ht="12" hidden="1" customHeight="1">
      <c r="A64" s="47"/>
      <c r="B64" s="187" t="s">
        <v>219</v>
      </c>
      <c r="C64" s="836" t="s">
        <v>54</v>
      </c>
      <c r="D64" s="31"/>
      <c r="E64" s="31"/>
      <c r="F64" s="31"/>
      <c r="G64" s="31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51"/>
      <c r="Y64" s="55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51"/>
      <c r="AK64" s="56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51"/>
      <c r="AW64" s="56"/>
      <c r="AX64" s="31"/>
      <c r="AY64" s="31"/>
      <c r="AZ64" s="109"/>
      <c r="BA64" s="62"/>
      <c r="BB64" s="62"/>
      <c r="BC64" s="62"/>
      <c r="BD64" s="62"/>
      <c r="BE64" s="110"/>
      <c r="BF64" s="109"/>
      <c r="BG64" s="62">
        <v>3.78</v>
      </c>
      <c r="BH64" s="62"/>
      <c r="BI64" s="110"/>
      <c r="BJ64" s="59"/>
      <c r="BK64" s="46"/>
      <c r="BL64" s="428"/>
      <c r="BM64" s="61"/>
      <c r="BN64" s="62"/>
      <c r="BO64" s="63"/>
      <c r="BP64" s="64"/>
      <c r="BQ64" s="61"/>
      <c r="BR64" s="65"/>
      <c r="BS64" s="66"/>
      <c r="BT64" s="64"/>
      <c r="BU64" s="61"/>
      <c r="BV64" s="65"/>
      <c r="BW64" s="66"/>
      <c r="BX64" s="431"/>
      <c r="BY64" s="68"/>
      <c r="BZ64" s="69"/>
      <c r="CA64" s="70"/>
      <c r="CB64" s="71"/>
      <c r="CC64" s="72"/>
      <c r="CD64" s="434"/>
      <c r="CE64" s="62"/>
      <c r="CF64" s="73"/>
      <c r="CG64" s="74"/>
      <c r="CH64" s="74"/>
      <c r="CI64" s="74"/>
      <c r="CJ64" s="74"/>
      <c r="CK64" s="74"/>
      <c r="CL64" s="74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31"/>
      <c r="DB64" s="31"/>
      <c r="DC64" s="31"/>
      <c r="DD64" s="31"/>
      <c r="DE64" s="31"/>
      <c r="DF64" s="31"/>
      <c r="DG64" s="134">
        <f>DF64/2</f>
        <v>0</v>
      </c>
      <c r="DI64" s="826"/>
      <c r="DJ64" s="788"/>
    </row>
    <row r="65" spans="1:114" s="783" customFormat="1" ht="24" hidden="1" customHeight="1">
      <c r="A65" s="47"/>
      <c r="B65" s="187" t="s">
        <v>218</v>
      </c>
      <c r="C65" s="836" t="s">
        <v>54</v>
      </c>
      <c r="D65" s="31"/>
      <c r="E65" s="31"/>
      <c r="F65" s="31"/>
      <c r="G65" s="31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51"/>
      <c r="Y65" s="55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51"/>
      <c r="AK65" s="56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51"/>
      <c r="AW65" s="56"/>
      <c r="AX65" s="31"/>
      <c r="AY65" s="31"/>
      <c r="AZ65" s="109"/>
      <c r="BA65" s="62"/>
      <c r="BB65" s="62"/>
      <c r="BC65" s="62"/>
      <c r="BD65" s="62"/>
      <c r="BE65" s="110"/>
      <c r="BF65" s="109"/>
      <c r="BG65" s="62">
        <v>23.85</v>
      </c>
      <c r="BH65" s="62"/>
      <c r="BI65" s="110"/>
      <c r="BJ65" s="59"/>
      <c r="BK65" s="46"/>
      <c r="BL65" s="428"/>
      <c r="BM65" s="61"/>
      <c r="BN65" s="62"/>
      <c r="BO65" s="63"/>
      <c r="BP65" s="64"/>
      <c r="BQ65" s="61"/>
      <c r="BR65" s="65"/>
      <c r="BS65" s="66"/>
      <c r="BT65" s="64"/>
      <c r="BU65" s="61"/>
      <c r="BV65" s="65"/>
      <c r="BW65" s="66"/>
      <c r="BX65" s="431"/>
      <c r="BY65" s="68"/>
      <c r="BZ65" s="69"/>
      <c r="CA65" s="70"/>
      <c r="CB65" s="71"/>
      <c r="CC65" s="72"/>
      <c r="CD65" s="434"/>
      <c r="CE65" s="62"/>
      <c r="CF65" s="73"/>
      <c r="CG65" s="74"/>
      <c r="CH65" s="74"/>
      <c r="CI65" s="74"/>
      <c r="CJ65" s="74"/>
      <c r="CK65" s="74"/>
      <c r="CL65" s="74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31"/>
      <c r="DB65" s="31"/>
      <c r="DC65" s="31"/>
      <c r="DD65" s="31"/>
      <c r="DE65" s="31"/>
      <c r="DF65" s="31"/>
      <c r="DG65" s="134">
        <f>DF65/2</f>
        <v>0</v>
      </c>
      <c r="DI65" s="826"/>
      <c r="DJ65" s="788"/>
    </row>
    <row r="66" spans="1:114" s="783" customFormat="1" hidden="1">
      <c r="A66" s="47"/>
      <c r="B66" s="187" t="s">
        <v>14</v>
      </c>
      <c r="C66" s="836" t="s">
        <v>54</v>
      </c>
      <c r="D66" s="31">
        <v>65</v>
      </c>
      <c r="E66" s="31">
        <v>84</v>
      </c>
      <c r="F66" s="31">
        <v>84</v>
      </c>
      <c r="G66" s="31">
        <v>84</v>
      </c>
      <c r="H66" s="134">
        <v>66</v>
      </c>
      <c r="I66" s="134"/>
      <c r="J66" s="134"/>
      <c r="K66" s="134"/>
      <c r="L66" s="134">
        <f>G66/12</f>
        <v>7</v>
      </c>
      <c r="M66" s="134">
        <v>5.5</v>
      </c>
      <c r="N66" s="134">
        <f>H66/12</f>
        <v>5.5</v>
      </c>
      <c r="O66" s="134"/>
      <c r="P66" s="134"/>
      <c r="Q66" s="134"/>
      <c r="R66" s="134"/>
      <c r="S66" s="134"/>
      <c r="T66" s="134"/>
      <c r="U66" s="134"/>
      <c r="V66" s="134"/>
      <c r="W66" s="134"/>
      <c r="X66" s="51">
        <f>O66-N66</f>
        <v>-5.5</v>
      </c>
      <c r="Y66" s="55">
        <f>O66/N66</f>
        <v>0</v>
      </c>
      <c r="Z66" s="134">
        <v>5.5</v>
      </c>
      <c r="AA66" s="134">
        <v>5.5</v>
      </c>
      <c r="AB66" s="134">
        <v>5.5</v>
      </c>
      <c r="AC66" s="134"/>
      <c r="AD66" s="134"/>
      <c r="AE66" s="134"/>
      <c r="AF66" s="134"/>
      <c r="AG66" s="134"/>
      <c r="AH66" s="134"/>
      <c r="AI66" s="134"/>
      <c r="AJ66" s="51">
        <f>AC66-AB66</f>
        <v>-5.5</v>
      </c>
      <c r="AK66" s="56">
        <f>AC66/AB66</f>
        <v>0</v>
      </c>
      <c r="AL66" s="134">
        <v>5.5</v>
      </c>
      <c r="AM66" s="134">
        <v>5.5</v>
      </c>
      <c r="AN66" s="134">
        <v>5.5</v>
      </c>
      <c r="AO66" s="134"/>
      <c r="AP66" s="134"/>
      <c r="AQ66" s="134"/>
      <c r="AR66" s="134"/>
      <c r="AS66" s="134"/>
      <c r="AT66" s="134"/>
      <c r="AU66" s="134"/>
      <c r="AV66" s="51">
        <f>AO66-AN66</f>
        <v>-5.5</v>
      </c>
      <c r="AW66" s="56">
        <f>AO66/AN66</f>
        <v>0</v>
      </c>
      <c r="AX66" s="31">
        <f t="shared" ref="AX66:AX93" si="40">G66/2</f>
        <v>42</v>
      </c>
      <c r="AY66" s="31">
        <v>74.5</v>
      </c>
      <c r="AZ66" s="109"/>
      <c r="BA66" s="62">
        <v>50.97</v>
      </c>
      <c r="BB66" s="62"/>
      <c r="BC66" s="62">
        <v>12.73</v>
      </c>
      <c r="BD66" s="62"/>
      <c r="BE66" s="110"/>
      <c r="BF66" s="109">
        <v>2.2999999999999998</v>
      </c>
      <c r="BG66" s="62"/>
      <c r="BH66" s="62"/>
      <c r="BI66" s="110"/>
      <c r="BJ66" s="59">
        <f t="shared" si="20"/>
        <v>50.97</v>
      </c>
      <c r="BK66" s="46" t="e">
        <f>BA66/AZ66</f>
        <v>#DIV/0!</v>
      </c>
      <c r="BL66" s="428"/>
      <c r="BM66" s="61">
        <v>5.5</v>
      </c>
      <c r="BN66" s="62"/>
      <c r="BO66" s="63"/>
      <c r="BP66" s="64"/>
      <c r="BQ66" s="61"/>
      <c r="BR66" s="65"/>
      <c r="BS66" s="66"/>
      <c r="BT66" s="64"/>
      <c r="BU66" s="61"/>
      <c r="BV66" s="65"/>
      <c r="BW66" s="66"/>
      <c r="BX66" s="431"/>
      <c r="BY66" s="68"/>
      <c r="BZ66" s="69">
        <f>M66+BM66+BQ66+BU66</f>
        <v>11</v>
      </c>
      <c r="CA66" s="70"/>
      <c r="CB66" s="71"/>
      <c r="CC66" s="72">
        <f>BZ66-E66</f>
        <v>-73</v>
      </c>
      <c r="CD66" s="434">
        <v>60</v>
      </c>
      <c r="CE66" s="62"/>
      <c r="CF66" s="73"/>
      <c r="CG66" s="74"/>
      <c r="CH66" s="74"/>
      <c r="CI66" s="74"/>
      <c r="CJ66" s="74"/>
      <c r="CK66" s="74"/>
      <c r="CL66" s="74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31">
        <v>84</v>
      </c>
      <c r="DB66" s="31">
        <v>84</v>
      </c>
      <c r="DC66" s="31">
        <v>84</v>
      </c>
      <c r="DD66" s="31">
        <v>84</v>
      </c>
      <c r="DE66" s="31">
        <v>84</v>
      </c>
      <c r="DF66" s="31">
        <v>42</v>
      </c>
      <c r="DG66" s="134">
        <f>DF66</f>
        <v>42</v>
      </c>
      <c r="DI66" s="826"/>
      <c r="DJ66" s="788"/>
    </row>
    <row r="67" spans="1:114" s="783" customFormat="1" hidden="1">
      <c r="A67" s="47"/>
      <c r="B67" s="187" t="s">
        <v>57</v>
      </c>
      <c r="C67" s="836" t="s">
        <v>54</v>
      </c>
      <c r="D67" s="31">
        <v>84</v>
      </c>
      <c r="E67" s="31">
        <v>100.8</v>
      </c>
      <c r="F67" s="31">
        <v>100.8</v>
      </c>
      <c r="G67" s="31">
        <v>100.8</v>
      </c>
      <c r="H67" s="134">
        <v>52.33</v>
      </c>
      <c r="I67" s="134"/>
      <c r="J67" s="134"/>
      <c r="K67" s="134"/>
      <c r="L67" s="134">
        <f>G67/12</f>
        <v>8.4</v>
      </c>
      <c r="M67" s="134"/>
      <c r="N67" s="134">
        <f>H67/12</f>
        <v>4.3608333333333329</v>
      </c>
      <c r="O67" s="134"/>
      <c r="P67" s="134"/>
      <c r="Q67" s="134"/>
      <c r="R67" s="134"/>
      <c r="S67" s="134"/>
      <c r="T67" s="134"/>
      <c r="U67" s="134"/>
      <c r="V67" s="134"/>
      <c r="W67" s="134"/>
      <c r="X67" s="51">
        <f>O67-N67</f>
        <v>-4.3608333333333329</v>
      </c>
      <c r="Y67" s="55">
        <f>O67/N67</f>
        <v>0</v>
      </c>
      <c r="Z67" s="134">
        <v>4.3600000000000003</v>
      </c>
      <c r="AA67" s="134">
        <v>12</v>
      </c>
      <c r="AB67" s="134">
        <v>4.3600000000000003</v>
      </c>
      <c r="AC67" s="134"/>
      <c r="AD67" s="134"/>
      <c r="AE67" s="134"/>
      <c r="AF67" s="134"/>
      <c r="AG67" s="134"/>
      <c r="AH67" s="134"/>
      <c r="AI67" s="134"/>
      <c r="AJ67" s="51">
        <f>AC67-AB67</f>
        <v>-4.3600000000000003</v>
      </c>
      <c r="AK67" s="56">
        <f>AC67/AB67</f>
        <v>0</v>
      </c>
      <c r="AL67" s="134">
        <v>4.3600000000000003</v>
      </c>
      <c r="AM67" s="134">
        <v>12</v>
      </c>
      <c r="AN67" s="134">
        <v>4.3600000000000003</v>
      </c>
      <c r="AO67" s="134"/>
      <c r="AP67" s="134"/>
      <c r="AQ67" s="134"/>
      <c r="AR67" s="134"/>
      <c r="AS67" s="134"/>
      <c r="AT67" s="134"/>
      <c r="AU67" s="134"/>
      <c r="AV67" s="51">
        <f>AO67-AN67</f>
        <v>-4.3600000000000003</v>
      </c>
      <c r="AW67" s="56">
        <f>AO67/AN67</f>
        <v>0</v>
      </c>
      <c r="AX67" s="31">
        <f t="shared" si="40"/>
        <v>50.4</v>
      </c>
      <c r="AY67" s="31">
        <v>67</v>
      </c>
      <c r="AZ67" s="109"/>
      <c r="BA67" s="62">
        <v>75.69</v>
      </c>
      <c r="BB67" s="62"/>
      <c r="BC67" s="62">
        <v>22.51</v>
      </c>
      <c r="BD67" s="62"/>
      <c r="BE67" s="110"/>
      <c r="BF67" s="109"/>
      <c r="BG67" s="62"/>
      <c r="BH67" s="62"/>
      <c r="BI67" s="110"/>
      <c r="BJ67" s="59">
        <f t="shared" si="20"/>
        <v>75.69</v>
      </c>
      <c r="BK67" s="46" t="e">
        <f>BA67/AZ67</f>
        <v>#DIV/0!</v>
      </c>
      <c r="BL67" s="428"/>
      <c r="BM67" s="61">
        <v>12</v>
      </c>
      <c r="BN67" s="62"/>
      <c r="BO67" s="63"/>
      <c r="BP67" s="64"/>
      <c r="BQ67" s="61"/>
      <c r="BR67" s="65"/>
      <c r="BS67" s="66"/>
      <c r="BT67" s="64"/>
      <c r="BU67" s="61"/>
      <c r="BV67" s="65"/>
      <c r="BW67" s="66"/>
      <c r="BX67" s="431"/>
      <c r="BY67" s="68"/>
      <c r="BZ67" s="69">
        <f>M67+BM67+BQ67+BU67</f>
        <v>12</v>
      </c>
      <c r="CA67" s="70"/>
      <c r="CB67" s="71"/>
      <c r="CC67" s="72">
        <f>BZ67-E67</f>
        <v>-88.8</v>
      </c>
      <c r="CD67" s="434">
        <v>65.5</v>
      </c>
      <c r="CE67" s="62"/>
      <c r="CF67" s="73"/>
      <c r="CG67" s="74"/>
      <c r="CH67" s="74"/>
      <c r="CI67" s="74"/>
      <c r="CJ67" s="74"/>
      <c r="CK67" s="74"/>
      <c r="CL67" s="74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31">
        <v>100.8</v>
      </c>
      <c r="DB67" s="31">
        <v>100.8</v>
      </c>
      <c r="DC67" s="31">
        <v>100.8</v>
      </c>
      <c r="DD67" s="31">
        <v>63</v>
      </c>
      <c r="DE67" s="31">
        <v>100.8</v>
      </c>
      <c r="DF67" s="31">
        <v>50.4</v>
      </c>
      <c r="DG67" s="134">
        <f>DF67</f>
        <v>50.4</v>
      </c>
      <c r="DI67" s="826"/>
      <c r="DJ67" s="788"/>
    </row>
    <row r="68" spans="1:114" s="783" customFormat="1" ht="12" customHeight="1">
      <c r="A68" s="177" t="s">
        <v>254</v>
      </c>
      <c r="B68" s="178" t="s">
        <v>5</v>
      </c>
      <c r="C68" s="834" t="s">
        <v>54</v>
      </c>
      <c r="D68" s="179">
        <f>SUM(D69:D70)</f>
        <v>216.63</v>
      </c>
      <c r="E68" s="179">
        <f>SUM(E69:E70)</f>
        <v>635</v>
      </c>
      <c r="F68" s="179">
        <f>SUM(F69:F70)</f>
        <v>385</v>
      </c>
      <c r="G68" s="179">
        <f>SUM(G69:G70)</f>
        <v>385</v>
      </c>
      <c r="H68" s="180">
        <f t="shared" ref="H68:U68" si="41">SUM(H69)</f>
        <v>0</v>
      </c>
      <c r="I68" s="180">
        <f t="shared" si="41"/>
        <v>255</v>
      </c>
      <c r="J68" s="180">
        <f t="shared" si="41"/>
        <v>66.3</v>
      </c>
      <c r="K68" s="180">
        <f t="shared" si="41"/>
        <v>188.7</v>
      </c>
      <c r="L68" s="180">
        <f t="shared" si="41"/>
        <v>0</v>
      </c>
      <c r="M68" s="180">
        <f t="shared" si="41"/>
        <v>0</v>
      </c>
      <c r="N68" s="180">
        <f t="shared" si="41"/>
        <v>0</v>
      </c>
      <c r="O68" s="180">
        <f t="shared" si="41"/>
        <v>0</v>
      </c>
      <c r="P68" s="180">
        <v>0</v>
      </c>
      <c r="Q68" s="180">
        <f>Q69</f>
        <v>0</v>
      </c>
      <c r="R68" s="180">
        <v>21.25</v>
      </c>
      <c r="S68" s="180">
        <f t="shared" si="41"/>
        <v>0</v>
      </c>
      <c r="T68" s="180">
        <f t="shared" si="41"/>
        <v>15.725</v>
      </c>
      <c r="U68" s="180">
        <f t="shared" si="41"/>
        <v>0</v>
      </c>
      <c r="V68" s="180">
        <v>0</v>
      </c>
      <c r="W68" s="180"/>
      <c r="X68" s="181"/>
      <c r="Y68" s="191"/>
      <c r="Z68" s="180">
        <f t="shared" ref="Z68:AG68" si="42">SUM(Z69)</f>
        <v>21.25</v>
      </c>
      <c r="AA68" s="180">
        <f t="shared" si="42"/>
        <v>0</v>
      </c>
      <c r="AB68" s="180">
        <f t="shared" si="42"/>
        <v>0</v>
      </c>
      <c r="AC68" s="180">
        <f t="shared" si="42"/>
        <v>0</v>
      </c>
      <c r="AD68" s="180">
        <f t="shared" si="42"/>
        <v>5.5250000000000004</v>
      </c>
      <c r="AE68" s="180">
        <f t="shared" si="42"/>
        <v>0</v>
      </c>
      <c r="AF68" s="180">
        <f t="shared" si="42"/>
        <v>15.73</v>
      </c>
      <c r="AG68" s="180">
        <f t="shared" si="42"/>
        <v>0</v>
      </c>
      <c r="AH68" s="180"/>
      <c r="AI68" s="180"/>
      <c r="AJ68" s="181"/>
      <c r="AK68" s="192"/>
      <c r="AL68" s="180">
        <f t="shared" ref="AL68:AS68" si="43">SUM(AL69)</f>
        <v>21.25</v>
      </c>
      <c r="AM68" s="180">
        <f t="shared" si="43"/>
        <v>0</v>
      </c>
      <c r="AN68" s="180">
        <f t="shared" si="43"/>
        <v>0</v>
      </c>
      <c r="AO68" s="180">
        <f t="shared" si="43"/>
        <v>0</v>
      </c>
      <c r="AP68" s="180">
        <f t="shared" si="43"/>
        <v>5.5250000000000004</v>
      </c>
      <c r="AQ68" s="180">
        <f t="shared" si="43"/>
        <v>0</v>
      </c>
      <c r="AR68" s="180">
        <f t="shared" si="43"/>
        <v>15.73</v>
      </c>
      <c r="AS68" s="180">
        <f t="shared" si="43"/>
        <v>0</v>
      </c>
      <c r="AT68" s="180"/>
      <c r="AU68" s="180"/>
      <c r="AV68" s="181"/>
      <c r="AW68" s="192"/>
      <c r="AX68" s="179">
        <f t="shared" si="40"/>
        <v>192.5</v>
      </c>
      <c r="AY68" s="179">
        <f>99.98</f>
        <v>99.98</v>
      </c>
      <c r="AZ68" s="184">
        <f>H68/4</f>
        <v>0</v>
      </c>
      <c r="BA68" s="185">
        <f>SUM(BA69)</f>
        <v>178.3</v>
      </c>
      <c r="BB68" s="185">
        <f t="shared" ref="BB68:BG68" si="44">SUM(BB69)</f>
        <v>63.75</v>
      </c>
      <c r="BC68" s="185">
        <f t="shared" si="44"/>
        <v>92</v>
      </c>
      <c r="BD68" s="185">
        <f t="shared" si="44"/>
        <v>0</v>
      </c>
      <c r="BE68" s="186">
        <f t="shared" si="44"/>
        <v>0</v>
      </c>
      <c r="BF68" s="184">
        <f t="shared" si="44"/>
        <v>5.7</v>
      </c>
      <c r="BG68" s="185">
        <f t="shared" si="44"/>
        <v>0</v>
      </c>
      <c r="BH68" s="185"/>
      <c r="BI68" s="186"/>
      <c r="BJ68" s="426">
        <f t="shared" si="20"/>
        <v>178.3</v>
      </c>
      <c r="BK68" s="481"/>
      <c r="BL68" s="468"/>
      <c r="BM68" s="469"/>
      <c r="BN68" s="264"/>
      <c r="BO68" s="470"/>
      <c r="BP68" s="471"/>
      <c r="BQ68" s="469"/>
      <c r="BR68" s="472"/>
      <c r="BS68" s="473"/>
      <c r="BT68" s="471"/>
      <c r="BU68" s="469"/>
      <c r="BV68" s="472"/>
      <c r="BW68" s="473"/>
      <c r="BX68" s="474">
        <v>618.70000000000005</v>
      </c>
      <c r="BY68" s="475">
        <f>F68</f>
        <v>385</v>
      </c>
      <c r="BZ68" s="320">
        <f>M68+BM68+BQ68+BU68</f>
        <v>0</v>
      </c>
      <c r="CA68" s="469">
        <f>BZ68-BY68</f>
        <v>-385</v>
      </c>
      <c r="CB68" s="476">
        <f>BZ68/BY68</f>
        <v>0</v>
      </c>
      <c r="CC68" s="307">
        <f>BZ68-E68</f>
        <v>-635</v>
      </c>
      <c r="CD68" s="477">
        <f>SUM(CD69)</f>
        <v>308</v>
      </c>
      <c r="CE68" s="185">
        <f>SUM(CE69)</f>
        <v>77</v>
      </c>
      <c r="CF68" s="478"/>
      <c r="CG68" s="465"/>
      <c r="CH68" s="465"/>
      <c r="CI68" s="465"/>
      <c r="CJ68" s="465"/>
      <c r="CK68" s="465"/>
      <c r="CL68" s="465"/>
      <c r="CM68" s="466"/>
      <c r="CN68" s="466"/>
      <c r="CO68" s="466"/>
      <c r="CP68" s="466"/>
      <c r="CQ68" s="466"/>
      <c r="CR68" s="466"/>
      <c r="CS68" s="466"/>
      <c r="CT68" s="466"/>
      <c r="CU68" s="466"/>
      <c r="CV68" s="466"/>
      <c r="CW68" s="466"/>
      <c r="CX68" s="466"/>
      <c r="CY68" s="466"/>
      <c r="CZ68" s="466"/>
      <c r="DA68" s="179">
        <f>SUM(DA69:DA70)</f>
        <v>635</v>
      </c>
      <c r="DB68" s="179">
        <f>SUM(DB69:DB70)</f>
        <v>385</v>
      </c>
      <c r="DC68" s="179">
        <f>SUM(DC69:DC70)</f>
        <v>385</v>
      </c>
      <c r="DD68" s="179">
        <f>SUM(DD69:DD70)</f>
        <v>385</v>
      </c>
      <c r="DE68" s="179">
        <f>SUM(DE69:DE70)</f>
        <v>396</v>
      </c>
      <c r="DF68" s="179">
        <v>198</v>
      </c>
      <c r="DG68" s="179">
        <v>198</v>
      </c>
      <c r="DI68" s="826"/>
      <c r="DJ68" s="788"/>
    </row>
    <row r="69" spans="1:114" s="783" customFormat="1" hidden="1">
      <c r="A69" s="177"/>
      <c r="B69" s="187" t="s">
        <v>185</v>
      </c>
      <c r="C69" s="836" t="s">
        <v>54</v>
      </c>
      <c r="D69" s="31">
        <v>216.63</v>
      </c>
      <c r="E69" s="31">
        <v>250</v>
      </c>
      <c r="F69" s="31"/>
      <c r="G69" s="31"/>
      <c r="H69" s="134">
        <v>0</v>
      </c>
      <c r="I69" s="134">
        <v>255</v>
      </c>
      <c r="J69" s="134">
        <v>66.3</v>
      </c>
      <c r="K69" s="134">
        <v>188.7</v>
      </c>
      <c r="L69" s="134">
        <f>G69/12</f>
        <v>0</v>
      </c>
      <c r="M69" s="134">
        <v>0</v>
      </c>
      <c r="N69" s="134"/>
      <c r="O69" s="134"/>
      <c r="P69" s="134"/>
      <c r="Q69" s="134">
        <v>0</v>
      </c>
      <c r="R69" s="134">
        <v>5.5250000000000004</v>
      </c>
      <c r="S69" s="134"/>
      <c r="T69" s="134">
        <v>15.725</v>
      </c>
      <c r="U69" s="134"/>
      <c r="V69" s="134"/>
      <c r="W69" s="134"/>
      <c r="X69" s="51"/>
      <c r="Y69" s="55"/>
      <c r="Z69" s="134">
        <v>21.25</v>
      </c>
      <c r="AA69" s="134"/>
      <c r="AB69" s="134"/>
      <c r="AC69" s="134"/>
      <c r="AD69" s="134">
        <v>5.5250000000000004</v>
      </c>
      <c r="AE69" s="134"/>
      <c r="AF69" s="134">
        <v>15.73</v>
      </c>
      <c r="AG69" s="134"/>
      <c r="AH69" s="134"/>
      <c r="AI69" s="134"/>
      <c r="AJ69" s="51"/>
      <c r="AK69" s="56"/>
      <c r="AL69" s="134">
        <v>21.25</v>
      </c>
      <c r="AM69" s="134"/>
      <c r="AN69" s="134"/>
      <c r="AO69" s="134"/>
      <c r="AP69" s="134">
        <v>5.5250000000000004</v>
      </c>
      <c r="AQ69" s="134"/>
      <c r="AR69" s="134">
        <v>15.73</v>
      </c>
      <c r="AS69" s="134"/>
      <c r="AT69" s="134"/>
      <c r="AU69" s="134"/>
      <c r="AV69" s="51"/>
      <c r="AW69" s="56"/>
      <c r="AX69" s="179">
        <f t="shared" si="40"/>
        <v>0</v>
      </c>
      <c r="AY69" s="31">
        <v>99.98</v>
      </c>
      <c r="AZ69" s="109"/>
      <c r="BA69" s="62">
        <v>178.3</v>
      </c>
      <c r="BB69" s="62">
        <f>I69/4</f>
        <v>63.75</v>
      </c>
      <c r="BC69" s="62">
        <v>92</v>
      </c>
      <c r="BD69" s="62"/>
      <c r="BE69" s="110"/>
      <c r="BF69" s="109">
        <v>5.7</v>
      </c>
      <c r="BG69" s="62"/>
      <c r="BH69" s="62"/>
      <c r="BI69" s="110"/>
      <c r="BJ69" s="426">
        <f t="shared" si="20"/>
        <v>178.3</v>
      </c>
      <c r="BK69" s="46"/>
      <c r="BL69" s="428"/>
      <c r="BM69" s="61"/>
      <c r="BN69" s="399"/>
      <c r="BO69" s="63"/>
      <c r="BP69" s="64"/>
      <c r="BQ69" s="61"/>
      <c r="BR69" s="479"/>
      <c r="BS69" s="66"/>
      <c r="BT69" s="64"/>
      <c r="BU69" s="61"/>
      <c r="BV69" s="65"/>
      <c r="BW69" s="66"/>
      <c r="BX69" s="431"/>
      <c r="BY69" s="68"/>
      <c r="BZ69" s="69">
        <v>385</v>
      </c>
      <c r="CA69" s="70"/>
      <c r="CB69" s="71"/>
      <c r="CC69" s="72">
        <f>BZ69-E69</f>
        <v>135</v>
      </c>
      <c r="CD69" s="434">
        <v>308</v>
      </c>
      <c r="CE69" s="62">
        <v>77</v>
      </c>
      <c r="CF69" s="73"/>
      <c r="CG69" s="74"/>
      <c r="CH69" s="74"/>
      <c r="CI69" s="74"/>
      <c r="CJ69" s="74"/>
      <c r="CK69" s="74"/>
      <c r="CL69" s="74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31">
        <v>250</v>
      </c>
      <c r="DB69" s="31"/>
      <c r="DC69" s="31"/>
      <c r="DD69" s="31"/>
      <c r="DE69" s="31">
        <v>396</v>
      </c>
      <c r="DF69" s="31">
        <v>198</v>
      </c>
      <c r="DG69" s="134">
        <v>198</v>
      </c>
      <c r="DH69" s="835"/>
      <c r="DI69" s="826"/>
      <c r="DJ69" s="788"/>
    </row>
    <row r="70" spans="1:114" s="783" customFormat="1" hidden="1">
      <c r="A70" s="177"/>
      <c r="B70" s="187" t="s">
        <v>247</v>
      </c>
      <c r="C70" s="836" t="s">
        <v>54</v>
      </c>
      <c r="D70" s="31"/>
      <c r="E70" s="31">
        <v>385</v>
      </c>
      <c r="F70" s="31">
        <v>385</v>
      </c>
      <c r="G70" s="31">
        <v>385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51"/>
      <c r="Y70" s="55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51"/>
      <c r="AK70" s="56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51"/>
      <c r="AW70" s="56"/>
      <c r="AX70" s="179">
        <f t="shared" si="40"/>
        <v>192.5</v>
      </c>
      <c r="AY70" s="31"/>
      <c r="AZ70" s="109"/>
      <c r="BA70" s="62"/>
      <c r="BB70" s="62"/>
      <c r="BC70" s="62"/>
      <c r="BD70" s="62"/>
      <c r="BE70" s="110"/>
      <c r="BF70" s="109"/>
      <c r="BG70" s="62"/>
      <c r="BH70" s="62"/>
      <c r="BI70" s="110"/>
      <c r="BJ70" s="426"/>
      <c r="BK70" s="46"/>
      <c r="BL70" s="428"/>
      <c r="BM70" s="61"/>
      <c r="BN70" s="399"/>
      <c r="BO70" s="63"/>
      <c r="BP70" s="64"/>
      <c r="BQ70" s="61"/>
      <c r="BR70" s="479"/>
      <c r="BS70" s="66"/>
      <c r="BT70" s="64"/>
      <c r="BU70" s="61"/>
      <c r="BV70" s="65"/>
      <c r="BW70" s="66"/>
      <c r="BX70" s="431"/>
      <c r="BY70" s="68"/>
      <c r="BZ70" s="69"/>
      <c r="CA70" s="70"/>
      <c r="CB70" s="71"/>
      <c r="CC70" s="72"/>
      <c r="CD70" s="434"/>
      <c r="CE70" s="62"/>
      <c r="CF70" s="73"/>
      <c r="CG70" s="74"/>
      <c r="CH70" s="74"/>
      <c r="CI70" s="74"/>
      <c r="CJ70" s="74"/>
      <c r="CK70" s="74"/>
      <c r="CL70" s="74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31">
        <v>385</v>
      </c>
      <c r="DB70" s="31">
        <v>385</v>
      </c>
      <c r="DC70" s="31">
        <v>385</v>
      </c>
      <c r="DD70" s="31">
        <v>385</v>
      </c>
      <c r="DE70" s="31"/>
      <c r="DF70" s="31"/>
      <c r="DG70" s="134"/>
      <c r="DH70" s="835"/>
      <c r="DI70" s="826"/>
      <c r="DJ70" s="788"/>
    </row>
    <row r="71" spans="1:114" s="783" customFormat="1">
      <c r="A71" s="177" t="s">
        <v>255</v>
      </c>
      <c r="B71" s="178" t="s">
        <v>15</v>
      </c>
      <c r="C71" s="834" t="s">
        <v>54</v>
      </c>
      <c r="D71" s="179">
        <f>SUM(D72:D84)</f>
        <v>2444.4399999999996</v>
      </c>
      <c r="E71" s="179">
        <f>SUM(E72:E84)</f>
        <v>2315.08</v>
      </c>
      <c r="F71" s="179">
        <f>SUM(F72:F84)</f>
        <v>2375.0800000000004</v>
      </c>
      <c r="G71" s="179">
        <f>SUM(G72:G84)</f>
        <v>2375.0800000000004</v>
      </c>
      <c r="H71" s="180">
        <f t="shared" ref="H71:M71" si="45">SUM(H72:H84)</f>
        <v>750</v>
      </c>
      <c r="I71" s="180">
        <f t="shared" si="45"/>
        <v>1178.55</v>
      </c>
      <c r="J71" s="180">
        <f t="shared" si="45"/>
        <v>306.42</v>
      </c>
      <c r="K71" s="180">
        <f t="shared" si="45"/>
        <v>872.13</v>
      </c>
      <c r="L71" s="180">
        <f t="shared" si="45"/>
        <v>155.40333333333334</v>
      </c>
      <c r="M71" s="180">
        <f t="shared" si="45"/>
        <v>66.039999999999992</v>
      </c>
      <c r="N71" s="180">
        <v>52.04</v>
      </c>
      <c r="O71" s="180">
        <v>38.07</v>
      </c>
      <c r="P71" s="180">
        <v>10.46</v>
      </c>
      <c r="Q71" s="180">
        <v>12.49</v>
      </c>
      <c r="R71" s="180">
        <v>98.21</v>
      </c>
      <c r="S71" s="180">
        <v>15.27</v>
      </c>
      <c r="T71" s="180">
        <f>SUM(T72:T84)</f>
        <v>72.677499999999995</v>
      </c>
      <c r="U71" s="180">
        <f>SUM(U72:U84)</f>
        <v>0</v>
      </c>
      <c r="V71" s="180">
        <v>0.21</v>
      </c>
      <c r="W71" s="180"/>
      <c r="X71" s="181">
        <f>O71-N71</f>
        <v>-13.969999999999999</v>
      </c>
      <c r="Y71" s="191">
        <f>O71/N71</f>
        <v>0.73155265180630291</v>
      </c>
      <c r="Z71" s="180">
        <f t="shared" ref="Z71:AG71" si="46">SUM(Z72:Z84)</f>
        <v>160.71</v>
      </c>
      <c r="AA71" s="180">
        <f t="shared" si="46"/>
        <v>126.53999999999999</v>
      </c>
      <c r="AB71" s="180">
        <f t="shared" si="46"/>
        <v>62.5</v>
      </c>
      <c r="AC71" s="180">
        <f t="shared" si="46"/>
        <v>0</v>
      </c>
      <c r="AD71" s="180">
        <f t="shared" si="46"/>
        <v>25.535</v>
      </c>
      <c r="AE71" s="180">
        <f t="shared" si="46"/>
        <v>0</v>
      </c>
      <c r="AF71" s="180">
        <f t="shared" si="46"/>
        <v>72.680000000000007</v>
      </c>
      <c r="AG71" s="180">
        <f t="shared" si="46"/>
        <v>0</v>
      </c>
      <c r="AH71" s="180"/>
      <c r="AI71" s="180"/>
      <c r="AJ71" s="181">
        <f>AC71-AB71</f>
        <v>-62.5</v>
      </c>
      <c r="AK71" s="192">
        <f>AC71/AB71</f>
        <v>0</v>
      </c>
      <c r="AL71" s="180">
        <f t="shared" ref="AL71:AS71" si="47">SUM(AL72:AL84)</f>
        <v>160.71</v>
      </c>
      <c r="AM71" s="180">
        <f t="shared" si="47"/>
        <v>126.53999999999999</v>
      </c>
      <c r="AN71" s="180">
        <f t="shared" si="47"/>
        <v>62.5</v>
      </c>
      <c r="AO71" s="180">
        <f t="shared" si="47"/>
        <v>0</v>
      </c>
      <c r="AP71" s="180">
        <f t="shared" si="47"/>
        <v>25.535</v>
      </c>
      <c r="AQ71" s="180">
        <f t="shared" si="47"/>
        <v>0</v>
      </c>
      <c r="AR71" s="180">
        <f t="shared" si="47"/>
        <v>72.680000000000007</v>
      </c>
      <c r="AS71" s="180">
        <f t="shared" si="47"/>
        <v>0</v>
      </c>
      <c r="AT71" s="180"/>
      <c r="AU71" s="180"/>
      <c r="AV71" s="181">
        <f>AO71-AN71</f>
        <v>-62.5</v>
      </c>
      <c r="AW71" s="192">
        <f>AO71/AN71</f>
        <v>0</v>
      </c>
      <c r="AX71" s="179">
        <f t="shared" si="40"/>
        <v>1187.5400000000002</v>
      </c>
      <c r="AY71" s="179">
        <f>SUM(AY72:AY84)</f>
        <v>1929.65</v>
      </c>
      <c r="AZ71" s="184">
        <f t="shared" ref="AZ71:BG71" si="48">SUM(AZ72:AZ84)</f>
        <v>0</v>
      </c>
      <c r="BA71" s="185">
        <f>SUM(BA72:BA84)</f>
        <v>1265.06</v>
      </c>
      <c r="BB71" s="185">
        <f t="shared" si="48"/>
        <v>0</v>
      </c>
      <c r="BC71" s="185">
        <f t="shared" si="48"/>
        <v>450.52000000000004</v>
      </c>
      <c r="BD71" s="185">
        <f t="shared" si="48"/>
        <v>0</v>
      </c>
      <c r="BE71" s="186">
        <f t="shared" si="48"/>
        <v>448.98</v>
      </c>
      <c r="BF71" s="184">
        <f t="shared" si="48"/>
        <v>82.38000000000001</v>
      </c>
      <c r="BG71" s="185">
        <f t="shared" si="48"/>
        <v>5.85</v>
      </c>
      <c r="BH71" s="185"/>
      <c r="BI71" s="186"/>
      <c r="BJ71" s="426">
        <f t="shared" si="20"/>
        <v>1265.06</v>
      </c>
      <c r="BK71" s="481" t="e">
        <f>BA71/AZ71</f>
        <v>#DIV/0!</v>
      </c>
      <c r="BL71" s="468"/>
      <c r="BM71" s="469">
        <f>SUM(BM72:BM84)</f>
        <v>126.539</v>
      </c>
      <c r="BN71" s="264"/>
      <c r="BO71" s="470"/>
      <c r="BP71" s="471"/>
      <c r="BQ71" s="469"/>
      <c r="BR71" s="472"/>
      <c r="BS71" s="473"/>
      <c r="BT71" s="471"/>
      <c r="BU71" s="469"/>
      <c r="BV71" s="472"/>
      <c r="BW71" s="473"/>
      <c r="BX71" s="474">
        <v>1655.98</v>
      </c>
      <c r="BY71" s="475">
        <f>F71</f>
        <v>2375.0800000000004</v>
      </c>
      <c r="BZ71" s="320">
        <f>M71+BM71+BQ71+BU71</f>
        <v>192.57900000000001</v>
      </c>
      <c r="CA71" s="469">
        <f>BZ71-BY71</f>
        <v>-2182.5010000000002</v>
      </c>
      <c r="CB71" s="476">
        <f>BZ71/BY71</f>
        <v>8.1083163514492129E-2</v>
      </c>
      <c r="CC71" s="307">
        <f>BZ71-E71</f>
        <v>-2122.5009999999997</v>
      </c>
      <c r="CD71" s="477">
        <f>SUM(CD74:CD84)</f>
        <v>519.21350000000007</v>
      </c>
      <c r="CE71" s="185">
        <f>SUM(CE74:CE84)</f>
        <v>19.920000000000002</v>
      </c>
      <c r="CF71" s="478"/>
      <c r="CG71" s="465"/>
      <c r="CH71" s="465"/>
      <c r="CI71" s="465"/>
      <c r="CJ71" s="465"/>
      <c r="CK71" s="465"/>
      <c r="CL71" s="465"/>
      <c r="CM71" s="466"/>
      <c r="CN71" s="466"/>
      <c r="CO71" s="466"/>
      <c r="CP71" s="466"/>
      <c r="CQ71" s="466"/>
      <c r="CR71" s="466"/>
      <c r="CS71" s="466"/>
      <c r="CT71" s="466"/>
      <c r="CU71" s="466"/>
      <c r="CV71" s="466"/>
      <c r="CW71" s="466"/>
      <c r="CX71" s="466"/>
      <c r="CY71" s="466"/>
      <c r="CZ71" s="466"/>
      <c r="DA71" s="179">
        <f t="shared" ref="DA71:DG71" si="49">SUM(DA72:DA84)</f>
        <v>2315.08</v>
      </c>
      <c r="DB71" s="179">
        <f t="shared" si="49"/>
        <v>2375.08</v>
      </c>
      <c r="DC71" s="179">
        <f t="shared" si="49"/>
        <v>2383.48</v>
      </c>
      <c r="DD71" s="179">
        <f t="shared" si="49"/>
        <v>2193.9499999999998</v>
      </c>
      <c r="DE71" s="179">
        <f t="shared" si="49"/>
        <v>2383.48</v>
      </c>
      <c r="DF71" s="179">
        <f t="shared" si="49"/>
        <v>1191.74</v>
      </c>
      <c r="DG71" s="179">
        <f t="shared" si="49"/>
        <v>1191.74</v>
      </c>
      <c r="DI71" s="826"/>
      <c r="DJ71" s="788"/>
    </row>
    <row r="72" spans="1:114" s="783" customFormat="1" hidden="1">
      <c r="A72" s="47"/>
      <c r="B72" s="187" t="s">
        <v>94</v>
      </c>
      <c r="C72" s="836" t="s">
        <v>54</v>
      </c>
      <c r="D72" s="31">
        <v>37.5</v>
      </c>
      <c r="E72" s="31">
        <v>35</v>
      </c>
      <c r="F72" s="31">
        <v>35</v>
      </c>
      <c r="G72" s="31">
        <v>35</v>
      </c>
      <c r="H72" s="134"/>
      <c r="I72" s="134"/>
      <c r="J72" s="134"/>
      <c r="K72" s="134"/>
      <c r="L72" s="134"/>
      <c r="M72" s="134">
        <v>0.8</v>
      </c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51"/>
      <c r="Y72" s="55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51"/>
      <c r="AK72" s="56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51"/>
      <c r="AW72" s="56"/>
      <c r="AX72" s="179">
        <f t="shared" si="40"/>
        <v>17.5</v>
      </c>
      <c r="AY72" s="31"/>
      <c r="AZ72" s="184"/>
      <c r="BA72" s="62">
        <v>8.39</v>
      </c>
      <c r="BB72" s="62"/>
      <c r="BC72" s="62">
        <v>5.79</v>
      </c>
      <c r="BD72" s="62"/>
      <c r="BE72" s="110">
        <v>1.82</v>
      </c>
      <c r="BF72" s="109"/>
      <c r="BG72" s="62"/>
      <c r="BH72" s="62"/>
      <c r="BI72" s="110"/>
      <c r="BJ72" s="426">
        <f t="shared" si="20"/>
        <v>8.39</v>
      </c>
      <c r="BK72" s="46"/>
      <c r="BL72" s="428"/>
      <c r="BM72" s="61"/>
      <c r="BN72" s="399"/>
      <c r="BO72" s="63"/>
      <c r="BP72" s="64"/>
      <c r="BQ72" s="61"/>
      <c r="BR72" s="479"/>
      <c r="BS72" s="66"/>
      <c r="BT72" s="64"/>
      <c r="BU72" s="61"/>
      <c r="BV72" s="479"/>
      <c r="BW72" s="66"/>
      <c r="BX72" s="431"/>
      <c r="BY72" s="68"/>
      <c r="BZ72" s="69"/>
      <c r="CA72" s="61"/>
      <c r="CB72" s="71"/>
      <c r="CC72" s="72"/>
      <c r="CD72" s="434"/>
      <c r="CE72" s="62"/>
      <c r="CF72" s="73"/>
      <c r="CG72" s="74"/>
      <c r="CH72" s="74"/>
      <c r="CI72" s="74"/>
      <c r="CJ72" s="74"/>
      <c r="CK72" s="74"/>
      <c r="CL72" s="74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31">
        <v>35</v>
      </c>
      <c r="DB72" s="31">
        <v>35</v>
      </c>
      <c r="DC72" s="31">
        <v>35</v>
      </c>
      <c r="DD72" s="31">
        <v>24</v>
      </c>
      <c r="DE72" s="31">
        <v>35</v>
      </c>
      <c r="DF72" s="31">
        <f>DE72/2</f>
        <v>17.5</v>
      </c>
      <c r="DG72" s="134">
        <f>DF72</f>
        <v>17.5</v>
      </c>
      <c r="DI72" s="826"/>
      <c r="DJ72" s="788"/>
    </row>
    <row r="73" spans="1:114" s="783" customFormat="1" hidden="1">
      <c r="A73" s="47"/>
      <c r="B73" s="187" t="s">
        <v>220</v>
      </c>
      <c r="C73" s="836" t="s">
        <v>54</v>
      </c>
      <c r="D73" s="31"/>
      <c r="E73" s="31">
        <v>7.8</v>
      </c>
      <c r="F73" s="31">
        <v>7.8</v>
      </c>
      <c r="G73" s="31">
        <v>7.8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51"/>
      <c r="Y73" s="55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51"/>
      <c r="AK73" s="56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51"/>
      <c r="AW73" s="56"/>
      <c r="AX73" s="179">
        <f t="shared" si="40"/>
        <v>3.9</v>
      </c>
      <c r="AY73" s="31">
        <v>11.7</v>
      </c>
      <c r="AZ73" s="184"/>
      <c r="BA73" s="62"/>
      <c r="BB73" s="62"/>
      <c r="BC73" s="62"/>
      <c r="BD73" s="62"/>
      <c r="BE73" s="110"/>
      <c r="BF73" s="109"/>
      <c r="BG73" s="62">
        <v>5.85</v>
      </c>
      <c r="BH73" s="62"/>
      <c r="BI73" s="110"/>
      <c r="BJ73" s="426"/>
      <c r="BK73" s="46"/>
      <c r="BL73" s="428"/>
      <c r="BM73" s="61"/>
      <c r="BN73" s="399"/>
      <c r="BO73" s="63"/>
      <c r="BP73" s="64"/>
      <c r="BQ73" s="61"/>
      <c r="BR73" s="479"/>
      <c r="BS73" s="66"/>
      <c r="BT73" s="64"/>
      <c r="BU73" s="61"/>
      <c r="BV73" s="479"/>
      <c r="BW73" s="66"/>
      <c r="BX73" s="431"/>
      <c r="BY73" s="68"/>
      <c r="BZ73" s="69"/>
      <c r="CA73" s="61"/>
      <c r="CB73" s="71"/>
      <c r="CC73" s="72"/>
      <c r="CD73" s="434"/>
      <c r="CE73" s="62"/>
      <c r="CF73" s="73"/>
      <c r="CG73" s="74"/>
      <c r="CH73" s="74"/>
      <c r="CI73" s="74"/>
      <c r="CJ73" s="74"/>
      <c r="CK73" s="74"/>
      <c r="CL73" s="74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31">
        <v>7.8</v>
      </c>
      <c r="DB73" s="31">
        <v>12</v>
      </c>
      <c r="DC73" s="31">
        <v>12</v>
      </c>
      <c r="DD73" s="31">
        <v>21.6</v>
      </c>
      <c r="DE73" s="31">
        <v>12</v>
      </c>
      <c r="DF73" s="31">
        <f t="shared" ref="DF73:DF96" si="50">DE73/2</f>
        <v>6</v>
      </c>
      <c r="DG73" s="134">
        <f>DF73</f>
        <v>6</v>
      </c>
      <c r="DI73" s="826"/>
      <c r="DJ73" s="788"/>
    </row>
    <row r="74" spans="1:114" s="783" customFormat="1" hidden="1">
      <c r="A74" s="177"/>
      <c r="B74" s="187" t="s">
        <v>16</v>
      </c>
      <c r="C74" s="836" t="s">
        <v>54</v>
      </c>
      <c r="D74" s="31">
        <v>1885.92</v>
      </c>
      <c r="E74" s="31">
        <v>1804.84</v>
      </c>
      <c r="F74" s="31">
        <f>1804.84+60</f>
        <v>1864.84</v>
      </c>
      <c r="G74" s="31">
        <f>1804.84+60</f>
        <v>1864.84</v>
      </c>
      <c r="H74" s="134">
        <v>750</v>
      </c>
      <c r="I74" s="134">
        <v>1178.55</v>
      </c>
      <c r="J74" s="134">
        <v>306.42</v>
      </c>
      <c r="K74" s="134">
        <v>872.13</v>
      </c>
      <c r="L74" s="134">
        <f>G74/12</f>
        <v>155.40333333333334</v>
      </c>
      <c r="M74" s="134">
        <v>53.59</v>
      </c>
      <c r="N74" s="134">
        <f>H74/12</f>
        <v>62.5</v>
      </c>
      <c r="O74" s="134"/>
      <c r="P74" s="134"/>
      <c r="Q74" s="134"/>
      <c r="R74" s="134">
        <f>J74/12</f>
        <v>25.535</v>
      </c>
      <c r="S74" s="134"/>
      <c r="T74" s="134">
        <f>K74/12</f>
        <v>72.677499999999995</v>
      </c>
      <c r="U74" s="134"/>
      <c r="V74" s="134"/>
      <c r="W74" s="134"/>
      <c r="X74" s="51">
        <f>O74-N74</f>
        <v>-62.5</v>
      </c>
      <c r="Y74" s="55">
        <f>O74/N74</f>
        <v>0</v>
      </c>
      <c r="Z74" s="134">
        <v>160.71</v>
      </c>
      <c r="AA74" s="134">
        <v>97.19</v>
      </c>
      <c r="AB74" s="134">
        <v>62.5</v>
      </c>
      <c r="AC74" s="134"/>
      <c r="AD74" s="134">
        <v>25.535</v>
      </c>
      <c r="AE74" s="134"/>
      <c r="AF74" s="134">
        <v>72.680000000000007</v>
      </c>
      <c r="AG74" s="134"/>
      <c r="AH74" s="134"/>
      <c r="AI74" s="134"/>
      <c r="AJ74" s="51">
        <f>AC74-AB74</f>
        <v>-62.5</v>
      </c>
      <c r="AK74" s="56">
        <f>AC74/AB74</f>
        <v>0</v>
      </c>
      <c r="AL74" s="134">
        <v>160.71</v>
      </c>
      <c r="AM74" s="134">
        <v>97.19</v>
      </c>
      <c r="AN74" s="134">
        <v>62.5</v>
      </c>
      <c r="AO74" s="134"/>
      <c r="AP74" s="134">
        <v>25.535</v>
      </c>
      <c r="AQ74" s="134"/>
      <c r="AR74" s="134">
        <v>72.680000000000007</v>
      </c>
      <c r="AS74" s="134"/>
      <c r="AT74" s="134"/>
      <c r="AU74" s="134"/>
      <c r="AV74" s="51">
        <f>AO74-AN74</f>
        <v>-62.5</v>
      </c>
      <c r="AW74" s="56">
        <f>AO74/AN74</f>
        <v>0</v>
      </c>
      <c r="AX74" s="179">
        <f t="shared" si="40"/>
        <v>932.42</v>
      </c>
      <c r="AY74" s="31">
        <v>1509.01</v>
      </c>
      <c r="AZ74" s="109"/>
      <c r="BA74" s="62">
        <v>1088.3499999999999</v>
      </c>
      <c r="BB74" s="62"/>
      <c r="BC74" s="62">
        <v>351.41</v>
      </c>
      <c r="BD74" s="62"/>
      <c r="BE74" s="110">
        <v>262.92</v>
      </c>
      <c r="BF74" s="109">
        <v>38.39</v>
      </c>
      <c r="BG74" s="62"/>
      <c r="BH74" s="62"/>
      <c r="BI74" s="110"/>
      <c r="BJ74" s="426">
        <f t="shared" si="20"/>
        <v>1088.3499999999999</v>
      </c>
      <c r="BK74" s="46" t="e">
        <f>BA74/AZ74</f>
        <v>#DIV/0!</v>
      </c>
      <c r="BL74" s="428"/>
      <c r="BM74" s="61">
        <v>97.1935</v>
      </c>
      <c r="BN74" s="62"/>
      <c r="BO74" s="470"/>
      <c r="BP74" s="64"/>
      <c r="BQ74" s="61"/>
      <c r="BR74" s="65"/>
      <c r="BS74" s="66"/>
      <c r="BT74" s="64"/>
      <c r="BU74" s="61"/>
      <c r="BV74" s="65"/>
      <c r="BW74" s="66"/>
      <c r="BX74" s="431"/>
      <c r="BY74" s="68"/>
      <c r="BZ74" s="69">
        <f>M74+BM74+BQ74+BU74</f>
        <v>150.7835</v>
      </c>
      <c r="CA74" s="70"/>
      <c r="CB74" s="71"/>
      <c r="CC74" s="72">
        <f>BZ74-E74</f>
        <v>-1654.0564999999999</v>
      </c>
      <c r="CD74" s="434">
        <f>BZ74-CE74</f>
        <v>130.86349999999999</v>
      </c>
      <c r="CE74" s="62">
        <v>19.920000000000002</v>
      </c>
      <c r="CF74" s="73"/>
      <c r="CG74" s="74"/>
      <c r="CH74" s="74"/>
      <c r="CI74" s="74"/>
      <c r="CJ74" s="74"/>
      <c r="CK74" s="74"/>
      <c r="CL74" s="74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31">
        <v>1804.84</v>
      </c>
      <c r="DB74" s="31">
        <f>1804.84+60-8.4</f>
        <v>1856.4399999999998</v>
      </c>
      <c r="DC74" s="31">
        <f>1804.84+60</f>
        <v>1864.84</v>
      </c>
      <c r="DD74" s="31">
        <v>1800.63</v>
      </c>
      <c r="DE74" s="31">
        <f>1804.84+60</f>
        <v>1864.84</v>
      </c>
      <c r="DF74" s="31">
        <f t="shared" si="50"/>
        <v>932.42</v>
      </c>
      <c r="DG74" s="134">
        <f>DF74</f>
        <v>932.42</v>
      </c>
      <c r="DI74" s="826"/>
      <c r="DJ74" s="788"/>
    </row>
    <row r="75" spans="1:114" s="783" customFormat="1" hidden="1">
      <c r="A75" s="177"/>
      <c r="B75" s="187" t="s">
        <v>93</v>
      </c>
      <c r="C75" s="837" t="s">
        <v>54</v>
      </c>
      <c r="D75" s="31">
        <v>7.38</v>
      </c>
      <c r="E75" s="31"/>
      <c r="F75" s="31"/>
      <c r="G75" s="31"/>
      <c r="H75" s="134"/>
      <c r="I75" s="134"/>
      <c r="J75" s="134"/>
      <c r="K75" s="134"/>
      <c r="L75" s="134"/>
      <c r="M75" s="134">
        <v>1.04</v>
      </c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51"/>
      <c r="Y75" s="55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51"/>
      <c r="AK75" s="56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51"/>
      <c r="AW75" s="56"/>
      <c r="AX75" s="179">
        <f t="shared" si="40"/>
        <v>0</v>
      </c>
      <c r="AY75" s="31"/>
      <c r="AZ75" s="184"/>
      <c r="BA75" s="62"/>
      <c r="BB75" s="62"/>
      <c r="BC75" s="62"/>
      <c r="BD75" s="62"/>
      <c r="BE75" s="110"/>
      <c r="BF75" s="109"/>
      <c r="BG75" s="62"/>
      <c r="BH75" s="62"/>
      <c r="BI75" s="110"/>
      <c r="BJ75" s="426">
        <f>BA75-AZ75</f>
        <v>0</v>
      </c>
      <c r="BK75" s="46"/>
      <c r="BL75" s="428"/>
      <c r="BM75" s="61"/>
      <c r="BN75" s="62"/>
      <c r="BO75" s="470"/>
      <c r="BP75" s="64"/>
      <c r="BQ75" s="61"/>
      <c r="BR75" s="65"/>
      <c r="BS75" s="66"/>
      <c r="BT75" s="64"/>
      <c r="BU75" s="61"/>
      <c r="BV75" s="65"/>
      <c r="BW75" s="66"/>
      <c r="BX75" s="431"/>
      <c r="BY75" s="68"/>
      <c r="BZ75" s="69"/>
      <c r="CA75" s="70"/>
      <c r="CB75" s="71"/>
      <c r="CC75" s="72"/>
      <c r="CD75" s="434"/>
      <c r="CE75" s="62"/>
      <c r="CF75" s="73"/>
      <c r="CG75" s="74"/>
      <c r="CH75" s="74"/>
      <c r="CI75" s="74"/>
      <c r="CJ75" s="74"/>
      <c r="CK75" s="74"/>
      <c r="CL75" s="74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31"/>
      <c r="DB75" s="31"/>
      <c r="DC75" s="31"/>
      <c r="DD75" s="31"/>
      <c r="DE75" s="31"/>
      <c r="DF75" s="31"/>
      <c r="DG75" s="134">
        <f t="shared" ref="DG75:DG87" si="51">DF75/2</f>
        <v>0</v>
      </c>
      <c r="DI75" s="826"/>
      <c r="DJ75" s="788"/>
    </row>
    <row r="76" spans="1:114" s="783" customFormat="1" hidden="1">
      <c r="A76" s="177"/>
      <c r="B76" s="187" t="s">
        <v>13</v>
      </c>
      <c r="C76" s="836" t="s">
        <v>54</v>
      </c>
      <c r="D76" s="31">
        <v>133.19999999999999</v>
      </c>
      <c r="E76" s="31">
        <v>159.84</v>
      </c>
      <c r="F76" s="31">
        <v>159.84</v>
      </c>
      <c r="G76" s="31">
        <v>159.84</v>
      </c>
      <c r="H76" s="134"/>
      <c r="I76" s="134"/>
      <c r="J76" s="134"/>
      <c r="K76" s="134"/>
      <c r="L76" s="134"/>
      <c r="M76" s="134">
        <v>7.3</v>
      </c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51"/>
      <c r="Y76" s="55"/>
      <c r="Z76" s="134"/>
      <c r="AA76" s="134">
        <v>4.58</v>
      </c>
      <c r="AB76" s="134"/>
      <c r="AC76" s="134"/>
      <c r="AD76" s="134"/>
      <c r="AE76" s="134"/>
      <c r="AF76" s="134"/>
      <c r="AG76" s="134"/>
      <c r="AH76" s="134"/>
      <c r="AI76" s="134"/>
      <c r="AJ76" s="51"/>
      <c r="AK76" s="56"/>
      <c r="AL76" s="134"/>
      <c r="AM76" s="134">
        <v>4.58</v>
      </c>
      <c r="AN76" s="134"/>
      <c r="AO76" s="134"/>
      <c r="AP76" s="134"/>
      <c r="AQ76" s="134"/>
      <c r="AR76" s="134"/>
      <c r="AS76" s="134"/>
      <c r="AT76" s="134"/>
      <c r="AU76" s="134"/>
      <c r="AV76" s="51"/>
      <c r="AW76" s="56"/>
      <c r="AX76" s="179">
        <f t="shared" si="40"/>
        <v>79.92</v>
      </c>
      <c r="AY76" s="31">
        <v>106.76</v>
      </c>
      <c r="AZ76" s="184"/>
      <c r="BA76" s="62">
        <v>88.3</v>
      </c>
      <c r="BB76" s="62"/>
      <c r="BC76" s="62">
        <v>18.309999999999999</v>
      </c>
      <c r="BD76" s="62"/>
      <c r="BE76" s="110">
        <v>49.2</v>
      </c>
      <c r="BF76" s="109">
        <v>5.13</v>
      </c>
      <c r="BG76" s="62"/>
      <c r="BH76" s="62"/>
      <c r="BI76" s="110"/>
      <c r="BJ76" s="426">
        <f>BA76-AZ76</f>
        <v>88.3</v>
      </c>
      <c r="BK76" s="46"/>
      <c r="BL76" s="428"/>
      <c r="BM76" s="61">
        <v>4.5785</v>
      </c>
      <c r="BN76" s="62"/>
      <c r="BO76" s="470"/>
      <c r="BP76" s="64"/>
      <c r="BQ76" s="61"/>
      <c r="BR76" s="65"/>
      <c r="BS76" s="66"/>
      <c r="BT76" s="64"/>
      <c r="BU76" s="61"/>
      <c r="BV76" s="65"/>
      <c r="BW76" s="66"/>
      <c r="BX76" s="431"/>
      <c r="BY76" s="68"/>
      <c r="BZ76" s="69">
        <f>M76+BM76+BQ76+BU76</f>
        <v>11.878499999999999</v>
      </c>
      <c r="CA76" s="70"/>
      <c r="CB76" s="71"/>
      <c r="CC76" s="72">
        <f>BZ76-E76</f>
        <v>-147.9615</v>
      </c>
      <c r="CD76" s="434">
        <v>163.44999999999999</v>
      </c>
      <c r="CE76" s="62"/>
      <c r="CF76" s="73"/>
      <c r="CG76" s="74"/>
      <c r="CH76" s="74"/>
      <c r="CI76" s="74"/>
      <c r="CJ76" s="74"/>
      <c r="CK76" s="74"/>
      <c r="CL76" s="74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31">
        <v>159.84</v>
      </c>
      <c r="DB76" s="31">
        <v>159.84</v>
      </c>
      <c r="DC76" s="31">
        <v>159.84</v>
      </c>
      <c r="DD76" s="31">
        <v>103.79</v>
      </c>
      <c r="DE76" s="31">
        <v>159.84</v>
      </c>
      <c r="DF76" s="31">
        <f t="shared" si="50"/>
        <v>79.92</v>
      </c>
      <c r="DG76" s="134">
        <f>DF76</f>
        <v>79.92</v>
      </c>
      <c r="DI76" s="826"/>
      <c r="DJ76" s="788"/>
    </row>
    <row r="77" spans="1:114" s="783" customFormat="1" hidden="1">
      <c r="A77" s="177"/>
      <c r="B77" s="187" t="s">
        <v>249</v>
      </c>
      <c r="C77" s="836" t="s">
        <v>54</v>
      </c>
      <c r="D77" s="31"/>
      <c r="E77" s="31">
        <v>9.8000000000000007</v>
      </c>
      <c r="F77" s="31">
        <v>9.8000000000000007</v>
      </c>
      <c r="G77" s="31">
        <v>9.8000000000000007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51"/>
      <c r="Y77" s="55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51"/>
      <c r="AK77" s="56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51"/>
      <c r="AW77" s="56"/>
      <c r="AX77" s="179"/>
      <c r="AY77" s="31"/>
      <c r="AZ77" s="184"/>
      <c r="BA77" s="62"/>
      <c r="BB77" s="62"/>
      <c r="BC77" s="62"/>
      <c r="BD77" s="62"/>
      <c r="BE77" s="110"/>
      <c r="BF77" s="109"/>
      <c r="BG77" s="62"/>
      <c r="BH77" s="62"/>
      <c r="BI77" s="110"/>
      <c r="BJ77" s="426"/>
      <c r="BK77" s="46"/>
      <c r="BL77" s="428"/>
      <c r="BM77" s="61"/>
      <c r="BN77" s="62"/>
      <c r="BO77" s="470"/>
      <c r="BP77" s="64"/>
      <c r="BQ77" s="61"/>
      <c r="BR77" s="65"/>
      <c r="BS77" s="66"/>
      <c r="BT77" s="64"/>
      <c r="BU77" s="61"/>
      <c r="BV77" s="65"/>
      <c r="BW77" s="66"/>
      <c r="BX77" s="431"/>
      <c r="BY77" s="68"/>
      <c r="BZ77" s="69"/>
      <c r="CA77" s="70"/>
      <c r="CB77" s="71"/>
      <c r="CC77" s="72"/>
      <c r="CD77" s="434"/>
      <c r="CE77" s="62"/>
      <c r="CF77" s="73"/>
      <c r="CG77" s="74"/>
      <c r="CH77" s="74"/>
      <c r="CI77" s="74"/>
      <c r="CJ77" s="74"/>
      <c r="CK77" s="74"/>
      <c r="CL77" s="74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31">
        <v>9.8000000000000007</v>
      </c>
      <c r="DB77" s="31">
        <v>9.8000000000000007</v>
      </c>
      <c r="DC77" s="31">
        <v>9.8000000000000007</v>
      </c>
      <c r="DD77" s="31"/>
      <c r="DE77" s="31">
        <v>9.8000000000000007</v>
      </c>
      <c r="DF77" s="31">
        <f t="shared" si="50"/>
        <v>4.9000000000000004</v>
      </c>
      <c r="DG77" s="134">
        <f>DF77</f>
        <v>4.9000000000000004</v>
      </c>
      <c r="DI77" s="826"/>
      <c r="DJ77" s="788"/>
    </row>
    <row r="78" spans="1:114" s="783" customFormat="1" hidden="1">
      <c r="A78" s="177"/>
      <c r="B78" s="187" t="s">
        <v>58</v>
      </c>
      <c r="C78" s="836" t="s">
        <v>54</v>
      </c>
      <c r="D78" s="31">
        <v>14.2</v>
      </c>
      <c r="E78" s="31"/>
      <c r="F78" s="31"/>
      <c r="G78" s="31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51"/>
      <c r="Y78" s="55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51"/>
      <c r="AK78" s="56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51"/>
      <c r="AW78" s="56"/>
      <c r="AX78" s="179">
        <f t="shared" si="40"/>
        <v>0</v>
      </c>
      <c r="AY78" s="31"/>
      <c r="AZ78" s="184"/>
      <c r="BA78" s="62"/>
      <c r="BB78" s="62"/>
      <c r="BC78" s="62"/>
      <c r="BD78" s="62"/>
      <c r="BE78" s="110"/>
      <c r="BF78" s="109"/>
      <c r="BG78" s="62"/>
      <c r="BH78" s="62"/>
      <c r="BI78" s="110"/>
      <c r="BJ78" s="426">
        <f>BA78-AZ78</f>
        <v>0</v>
      </c>
      <c r="BK78" s="46"/>
      <c r="BL78" s="428"/>
      <c r="BM78" s="61"/>
      <c r="BN78" s="62"/>
      <c r="BO78" s="470"/>
      <c r="BP78" s="64"/>
      <c r="BQ78" s="61"/>
      <c r="BR78" s="65"/>
      <c r="BS78" s="66"/>
      <c r="BT78" s="64"/>
      <c r="BU78" s="61"/>
      <c r="BV78" s="65"/>
      <c r="BW78" s="66"/>
      <c r="BX78" s="431"/>
      <c r="BY78" s="68"/>
      <c r="BZ78" s="69">
        <f>M78+BM78+BQ78+BU78</f>
        <v>0</v>
      </c>
      <c r="CA78" s="70"/>
      <c r="CB78" s="71"/>
      <c r="CC78" s="72">
        <f>BZ78-E78</f>
        <v>0</v>
      </c>
      <c r="CD78" s="434">
        <v>3.6</v>
      </c>
      <c r="CE78" s="62"/>
      <c r="CF78" s="73"/>
      <c r="CG78" s="74"/>
      <c r="CH78" s="74"/>
      <c r="CI78" s="74"/>
      <c r="CJ78" s="74"/>
      <c r="CK78" s="74"/>
      <c r="CL78" s="74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31"/>
      <c r="DB78" s="31"/>
      <c r="DC78" s="31"/>
      <c r="DD78" s="31"/>
      <c r="DE78" s="31"/>
      <c r="DF78" s="31">
        <f t="shared" si="50"/>
        <v>0</v>
      </c>
      <c r="DG78" s="134">
        <f t="shared" si="51"/>
        <v>0</v>
      </c>
      <c r="DI78" s="826"/>
      <c r="DJ78" s="788"/>
    </row>
    <row r="79" spans="1:114" s="783" customFormat="1" hidden="1">
      <c r="A79" s="177"/>
      <c r="B79" s="187" t="s">
        <v>119</v>
      </c>
      <c r="C79" s="837" t="s">
        <v>54</v>
      </c>
      <c r="D79" s="31">
        <v>15.72</v>
      </c>
      <c r="E79" s="31"/>
      <c r="F79" s="31"/>
      <c r="G79" s="31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51"/>
      <c r="Y79" s="55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51"/>
      <c r="AK79" s="56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51"/>
      <c r="AW79" s="56"/>
      <c r="AX79" s="179">
        <f t="shared" si="40"/>
        <v>0</v>
      </c>
      <c r="AY79" s="31"/>
      <c r="AZ79" s="184"/>
      <c r="BA79" s="62">
        <v>8.82</v>
      </c>
      <c r="BB79" s="62"/>
      <c r="BC79" s="62"/>
      <c r="BD79" s="62"/>
      <c r="BE79" s="110"/>
      <c r="BF79" s="109"/>
      <c r="BG79" s="62"/>
      <c r="BH79" s="62"/>
      <c r="BI79" s="110"/>
      <c r="BJ79" s="426"/>
      <c r="BK79" s="46"/>
      <c r="BL79" s="428"/>
      <c r="BM79" s="61"/>
      <c r="BN79" s="62"/>
      <c r="BO79" s="470"/>
      <c r="BP79" s="64"/>
      <c r="BQ79" s="61"/>
      <c r="BR79" s="65"/>
      <c r="BS79" s="66"/>
      <c r="BT79" s="64"/>
      <c r="BU79" s="61"/>
      <c r="BV79" s="65"/>
      <c r="BW79" s="66"/>
      <c r="BX79" s="431"/>
      <c r="BY79" s="68"/>
      <c r="BZ79" s="69"/>
      <c r="CA79" s="70"/>
      <c r="CB79" s="71"/>
      <c r="CC79" s="72"/>
      <c r="CD79" s="434"/>
      <c r="CE79" s="62"/>
      <c r="CF79" s="73"/>
      <c r="CG79" s="74"/>
      <c r="CH79" s="74"/>
      <c r="CI79" s="74"/>
      <c r="CJ79" s="74"/>
      <c r="CK79" s="74"/>
      <c r="CL79" s="74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31"/>
      <c r="DB79" s="31"/>
      <c r="DC79" s="31"/>
      <c r="DD79" s="31"/>
      <c r="DE79" s="31"/>
      <c r="DF79" s="31">
        <f t="shared" si="50"/>
        <v>0</v>
      </c>
      <c r="DG79" s="134">
        <f t="shared" si="51"/>
        <v>0</v>
      </c>
      <c r="DI79" s="826"/>
      <c r="DJ79" s="788"/>
    </row>
    <row r="80" spans="1:114" s="783" customFormat="1" hidden="1">
      <c r="A80" s="177"/>
      <c r="B80" s="187" t="s">
        <v>64</v>
      </c>
      <c r="C80" s="837" t="s">
        <v>54</v>
      </c>
      <c r="D80" s="31">
        <v>20.420000000000002</v>
      </c>
      <c r="E80" s="31"/>
      <c r="F80" s="31"/>
      <c r="G80" s="31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51"/>
      <c r="Y80" s="55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51"/>
      <c r="AK80" s="56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51"/>
      <c r="AW80" s="56"/>
      <c r="AX80" s="179">
        <f t="shared" si="40"/>
        <v>0</v>
      </c>
      <c r="AY80" s="31"/>
      <c r="AZ80" s="184"/>
      <c r="BA80" s="62"/>
      <c r="BB80" s="62"/>
      <c r="BC80" s="62"/>
      <c r="BD80" s="62"/>
      <c r="BE80" s="110"/>
      <c r="BF80" s="109"/>
      <c r="BG80" s="62"/>
      <c r="BH80" s="62"/>
      <c r="BI80" s="110"/>
      <c r="BJ80" s="426"/>
      <c r="BK80" s="46"/>
      <c r="BL80" s="428"/>
      <c r="BM80" s="61"/>
      <c r="BN80" s="62"/>
      <c r="BO80" s="470"/>
      <c r="BP80" s="64"/>
      <c r="BQ80" s="61"/>
      <c r="BR80" s="65"/>
      <c r="BS80" s="66"/>
      <c r="BT80" s="64"/>
      <c r="BU80" s="61"/>
      <c r="BV80" s="65"/>
      <c r="BW80" s="66"/>
      <c r="BX80" s="431"/>
      <c r="BY80" s="68"/>
      <c r="BZ80" s="69"/>
      <c r="CA80" s="70"/>
      <c r="CB80" s="71"/>
      <c r="CC80" s="72"/>
      <c r="CD80" s="434"/>
      <c r="CE80" s="62"/>
      <c r="CF80" s="73"/>
      <c r="CG80" s="74"/>
      <c r="CH80" s="74"/>
      <c r="CI80" s="74"/>
      <c r="CJ80" s="74"/>
      <c r="CK80" s="74"/>
      <c r="CL80" s="74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31"/>
      <c r="DB80" s="31"/>
      <c r="DC80" s="31"/>
      <c r="DD80" s="31"/>
      <c r="DE80" s="31"/>
      <c r="DF80" s="31">
        <f t="shared" si="50"/>
        <v>0</v>
      </c>
      <c r="DG80" s="134">
        <f t="shared" si="51"/>
        <v>0</v>
      </c>
      <c r="DI80" s="826"/>
      <c r="DJ80" s="788"/>
    </row>
    <row r="81" spans="1:114" s="783" customFormat="1" hidden="1">
      <c r="A81" s="177"/>
      <c r="B81" s="187" t="s">
        <v>130</v>
      </c>
      <c r="C81" s="837" t="s">
        <v>54</v>
      </c>
      <c r="D81" s="31">
        <v>6.9</v>
      </c>
      <c r="E81" s="31">
        <v>6</v>
      </c>
      <c r="F81" s="31">
        <v>6</v>
      </c>
      <c r="G81" s="31">
        <v>6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51"/>
      <c r="Y81" s="55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51"/>
      <c r="AK81" s="56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51"/>
      <c r="AW81" s="56"/>
      <c r="AX81" s="179">
        <f t="shared" si="40"/>
        <v>3</v>
      </c>
      <c r="AY81" s="31">
        <v>9.4499999999999993</v>
      </c>
      <c r="AZ81" s="184"/>
      <c r="BA81" s="62">
        <v>2.0499999999999998</v>
      </c>
      <c r="BB81" s="62"/>
      <c r="BC81" s="62">
        <v>1.85</v>
      </c>
      <c r="BD81" s="62"/>
      <c r="BE81" s="110">
        <v>2.1</v>
      </c>
      <c r="BF81" s="109"/>
      <c r="BG81" s="62"/>
      <c r="BH81" s="62"/>
      <c r="BI81" s="110"/>
      <c r="BJ81" s="426"/>
      <c r="BK81" s="46"/>
      <c r="BL81" s="428"/>
      <c r="BM81" s="61"/>
      <c r="BN81" s="62"/>
      <c r="BO81" s="470"/>
      <c r="BP81" s="64"/>
      <c r="BQ81" s="61"/>
      <c r="BR81" s="65"/>
      <c r="BS81" s="66"/>
      <c r="BT81" s="64"/>
      <c r="BU81" s="61"/>
      <c r="BV81" s="65"/>
      <c r="BW81" s="66"/>
      <c r="BX81" s="431"/>
      <c r="BY81" s="68"/>
      <c r="BZ81" s="69"/>
      <c r="CA81" s="70"/>
      <c r="CB81" s="71"/>
      <c r="CC81" s="72"/>
      <c r="CD81" s="434"/>
      <c r="CE81" s="62"/>
      <c r="CF81" s="73"/>
      <c r="CG81" s="74"/>
      <c r="CH81" s="74"/>
      <c r="CI81" s="74"/>
      <c r="CJ81" s="74"/>
      <c r="CK81" s="74"/>
      <c r="CL81" s="74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31">
        <v>6</v>
      </c>
      <c r="DB81" s="31">
        <v>10.199999999999999</v>
      </c>
      <c r="DC81" s="31">
        <v>10.199999999999999</v>
      </c>
      <c r="DD81" s="31">
        <v>10.199999999999999</v>
      </c>
      <c r="DE81" s="31">
        <v>10.199999999999999</v>
      </c>
      <c r="DF81" s="31">
        <f t="shared" si="50"/>
        <v>5.0999999999999996</v>
      </c>
      <c r="DG81" s="134">
        <f>DF81</f>
        <v>5.0999999999999996</v>
      </c>
      <c r="DI81" s="826"/>
      <c r="DJ81" s="788"/>
    </row>
    <row r="82" spans="1:114" s="783" customFormat="1" hidden="1">
      <c r="A82" s="177"/>
      <c r="B82" s="187" t="s">
        <v>17</v>
      </c>
      <c r="C82" s="836" t="s">
        <v>54</v>
      </c>
      <c r="D82" s="31">
        <v>9.1999999999999993</v>
      </c>
      <c r="E82" s="31"/>
      <c r="F82" s="31"/>
      <c r="G82" s="31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51"/>
      <c r="Y82" s="55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51"/>
      <c r="AK82" s="56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51"/>
      <c r="AW82" s="56"/>
      <c r="AX82" s="179">
        <f t="shared" si="40"/>
        <v>0</v>
      </c>
      <c r="AY82" s="31"/>
      <c r="AZ82" s="184"/>
      <c r="BA82" s="62"/>
      <c r="BB82" s="62"/>
      <c r="BC82" s="62"/>
      <c r="BD82" s="62"/>
      <c r="BE82" s="110"/>
      <c r="BF82" s="109"/>
      <c r="BG82" s="62"/>
      <c r="BH82" s="62"/>
      <c r="BI82" s="110"/>
      <c r="BJ82" s="426">
        <f>BA82-AZ82</f>
        <v>0</v>
      </c>
      <c r="BK82" s="46"/>
      <c r="BL82" s="428"/>
      <c r="BM82" s="61"/>
      <c r="BN82" s="62"/>
      <c r="BO82" s="470"/>
      <c r="BP82" s="64"/>
      <c r="BQ82" s="61"/>
      <c r="BR82" s="65"/>
      <c r="BS82" s="66"/>
      <c r="BT82" s="64"/>
      <c r="BU82" s="61"/>
      <c r="BV82" s="65"/>
      <c r="BW82" s="66"/>
      <c r="BX82" s="431"/>
      <c r="BY82" s="68"/>
      <c r="BZ82" s="69">
        <f>M82+BM82+BQ82+BU82</f>
        <v>0</v>
      </c>
      <c r="CA82" s="70"/>
      <c r="CB82" s="71"/>
      <c r="CC82" s="72">
        <f>BZ82-E82</f>
        <v>0</v>
      </c>
      <c r="CD82" s="434">
        <v>8</v>
      </c>
      <c r="CE82" s="62"/>
      <c r="CF82" s="73"/>
      <c r="CG82" s="74"/>
      <c r="CH82" s="74"/>
      <c r="CI82" s="74"/>
      <c r="CJ82" s="74"/>
      <c r="CK82" s="74"/>
      <c r="CL82" s="74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31"/>
      <c r="DB82" s="31"/>
      <c r="DC82" s="31"/>
      <c r="DD82" s="31"/>
      <c r="DE82" s="31"/>
      <c r="DF82" s="31">
        <f t="shared" si="50"/>
        <v>0</v>
      </c>
      <c r="DG82" s="134">
        <f t="shared" si="51"/>
        <v>0</v>
      </c>
      <c r="DI82" s="826"/>
      <c r="DJ82" s="788"/>
    </row>
    <row r="83" spans="1:114" s="783" customFormat="1" hidden="1">
      <c r="A83" s="177"/>
      <c r="B83" s="187" t="s">
        <v>18</v>
      </c>
      <c r="C83" s="836" t="s">
        <v>54</v>
      </c>
      <c r="D83" s="31">
        <v>184</v>
      </c>
      <c r="E83" s="31">
        <v>239</v>
      </c>
      <c r="F83" s="31">
        <v>239</v>
      </c>
      <c r="G83" s="31">
        <v>239</v>
      </c>
      <c r="H83" s="134"/>
      <c r="I83" s="134"/>
      <c r="J83" s="134"/>
      <c r="K83" s="134"/>
      <c r="L83" s="134"/>
      <c r="M83" s="134">
        <v>3.31</v>
      </c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51"/>
      <c r="Y83" s="55"/>
      <c r="Z83" s="134"/>
      <c r="AA83" s="134">
        <v>20.5</v>
      </c>
      <c r="AB83" s="134"/>
      <c r="AC83" s="134"/>
      <c r="AD83" s="134"/>
      <c r="AE83" s="134"/>
      <c r="AF83" s="134"/>
      <c r="AG83" s="134"/>
      <c r="AH83" s="134"/>
      <c r="AI83" s="134"/>
      <c r="AJ83" s="51"/>
      <c r="AK83" s="56"/>
      <c r="AL83" s="134"/>
      <c r="AM83" s="134">
        <v>20.5</v>
      </c>
      <c r="AN83" s="134"/>
      <c r="AO83" s="134"/>
      <c r="AP83" s="134"/>
      <c r="AQ83" s="134"/>
      <c r="AR83" s="134"/>
      <c r="AS83" s="134"/>
      <c r="AT83" s="134"/>
      <c r="AU83" s="134"/>
      <c r="AV83" s="51"/>
      <c r="AW83" s="56"/>
      <c r="AX83" s="179">
        <f t="shared" si="40"/>
        <v>119.5</v>
      </c>
      <c r="AY83" s="31">
        <v>164.77</v>
      </c>
      <c r="AZ83" s="184"/>
      <c r="BA83" s="62">
        <v>46.64</v>
      </c>
      <c r="BB83" s="62"/>
      <c r="BC83" s="62">
        <v>57.72</v>
      </c>
      <c r="BD83" s="62"/>
      <c r="BE83" s="110">
        <v>121.09</v>
      </c>
      <c r="BF83" s="109">
        <v>34.72</v>
      </c>
      <c r="BG83" s="62"/>
      <c r="BH83" s="62"/>
      <c r="BI83" s="110"/>
      <c r="BJ83" s="426">
        <f>BA83-AZ83</f>
        <v>46.64</v>
      </c>
      <c r="BK83" s="46"/>
      <c r="BL83" s="428"/>
      <c r="BM83" s="61">
        <v>20.5</v>
      </c>
      <c r="BN83" s="62"/>
      <c r="BO83" s="470"/>
      <c r="BP83" s="64"/>
      <c r="BQ83" s="61"/>
      <c r="BR83" s="65"/>
      <c r="BS83" s="66"/>
      <c r="BT83" s="64"/>
      <c r="BU83" s="61"/>
      <c r="BV83" s="65"/>
      <c r="BW83" s="66"/>
      <c r="BX83" s="431"/>
      <c r="BY83" s="68"/>
      <c r="BZ83" s="69">
        <f>M83+BM83+BQ83+BU83</f>
        <v>23.81</v>
      </c>
      <c r="CA83" s="70"/>
      <c r="CB83" s="71"/>
      <c r="CC83" s="72">
        <f>BZ83-E83</f>
        <v>-215.19</v>
      </c>
      <c r="CD83" s="434">
        <v>87.35</v>
      </c>
      <c r="CE83" s="62"/>
      <c r="CF83" s="73"/>
      <c r="CG83" s="74"/>
      <c r="CH83" s="74"/>
      <c r="CI83" s="74"/>
      <c r="CJ83" s="74"/>
      <c r="CK83" s="74"/>
      <c r="CL83" s="74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31">
        <v>239</v>
      </c>
      <c r="DB83" s="31">
        <v>239</v>
      </c>
      <c r="DC83" s="31">
        <v>239</v>
      </c>
      <c r="DD83" s="31">
        <v>135.57</v>
      </c>
      <c r="DE83" s="31">
        <v>239</v>
      </c>
      <c r="DF83" s="31">
        <f t="shared" si="50"/>
        <v>119.5</v>
      </c>
      <c r="DG83" s="134">
        <f>DF83</f>
        <v>119.5</v>
      </c>
      <c r="DI83" s="826"/>
      <c r="DJ83" s="788"/>
    </row>
    <row r="84" spans="1:114" s="783" customFormat="1" hidden="1">
      <c r="A84" s="177"/>
      <c r="B84" s="187" t="s">
        <v>19</v>
      </c>
      <c r="C84" s="836" t="s">
        <v>54</v>
      </c>
      <c r="D84" s="31">
        <v>130</v>
      </c>
      <c r="E84" s="31">
        <v>52.8</v>
      </c>
      <c r="F84" s="31">
        <v>52.8</v>
      </c>
      <c r="G84" s="31">
        <v>52.8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54"/>
      <c r="Y84" s="55"/>
      <c r="Z84" s="134"/>
      <c r="AA84" s="134">
        <v>4.2699999999999996</v>
      </c>
      <c r="AB84" s="134"/>
      <c r="AC84" s="134"/>
      <c r="AD84" s="134"/>
      <c r="AE84" s="134"/>
      <c r="AF84" s="134"/>
      <c r="AG84" s="134"/>
      <c r="AH84" s="134"/>
      <c r="AI84" s="134"/>
      <c r="AJ84" s="54"/>
      <c r="AK84" s="56"/>
      <c r="AL84" s="134"/>
      <c r="AM84" s="134">
        <v>4.2699999999999996</v>
      </c>
      <c r="AN84" s="134"/>
      <c r="AO84" s="134"/>
      <c r="AP84" s="134"/>
      <c r="AQ84" s="134"/>
      <c r="AR84" s="134"/>
      <c r="AS84" s="134"/>
      <c r="AT84" s="134"/>
      <c r="AU84" s="134"/>
      <c r="AV84" s="54"/>
      <c r="AW84" s="56"/>
      <c r="AX84" s="179">
        <f t="shared" si="40"/>
        <v>26.4</v>
      </c>
      <c r="AY84" s="31">
        <v>127.96</v>
      </c>
      <c r="AZ84" s="184"/>
      <c r="BA84" s="62">
        <v>22.51</v>
      </c>
      <c r="BB84" s="62"/>
      <c r="BC84" s="62">
        <v>15.44</v>
      </c>
      <c r="BD84" s="62"/>
      <c r="BE84" s="110">
        <v>11.85</v>
      </c>
      <c r="BF84" s="109">
        <v>4.1399999999999997</v>
      </c>
      <c r="BG84" s="62"/>
      <c r="BH84" s="62"/>
      <c r="BI84" s="110"/>
      <c r="BJ84" s="426">
        <f t="shared" ref="BJ84:BJ89" si="52">BA84-AZ84</f>
        <v>22.51</v>
      </c>
      <c r="BK84" s="46"/>
      <c r="BL84" s="428"/>
      <c r="BM84" s="61">
        <v>4.2670000000000003</v>
      </c>
      <c r="BN84" s="62"/>
      <c r="BO84" s="470"/>
      <c r="BP84" s="64"/>
      <c r="BQ84" s="61"/>
      <c r="BR84" s="65"/>
      <c r="BS84" s="66"/>
      <c r="BT84" s="64"/>
      <c r="BU84" s="61"/>
      <c r="BV84" s="65"/>
      <c r="BW84" s="66"/>
      <c r="BX84" s="431"/>
      <c r="BY84" s="68"/>
      <c r="BZ84" s="69">
        <f t="shared" ref="BZ84:BZ89" si="53">M84+BM84+BQ84+BU84</f>
        <v>4.2670000000000003</v>
      </c>
      <c r="CA84" s="70"/>
      <c r="CB84" s="71"/>
      <c r="CC84" s="72">
        <f t="shared" ref="CC84:CC89" si="54">BZ84-E84</f>
        <v>-48.532999999999994</v>
      </c>
      <c r="CD84" s="434">
        <v>125.95</v>
      </c>
      <c r="CE84" s="62"/>
      <c r="CF84" s="73"/>
      <c r="CG84" s="74"/>
      <c r="CH84" s="74"/>
      <c r="CI84" s="74"/>
      <c r="CJ84" s="74"/>
      <c r="CK84" s="74"/>
      <c r="CL84" s="74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31">
        <v>52.8</v>
      </c>
      <c r="DB84" s="31">
        <v>52.8</v>
      </c>
      <c r="DC84" s="31">
        <v>52.8</v>
      </c>
      <c r="DD84" s="31">
        <v>98.16</v>
      </c>
      <c r="DE84" s="31">
        <v>52.8</v>
      </c>
      <c r="DF84" s="31">
        <f t="shared" si="50"/>
        <v>26.4</v>
      </c>
      <c r="DG84" s="134">
        <f>DF84</f>
        <v>26.4</v>
      </c>
      <c r="DI84" s="826"/>
      <c r="DJ84" s="788"/>
    </row>
    <row r="85" spans="1:114" s="783" customFormat="1">
      <c r="A85" s="177" t="s">
        <v>256</v>
      </c>
      <c r="B85" s="178" t="s">
        <v>22</v>
      </c>
      <c r="C85" s="834" t="s">
        <v>54</v>
      </c>
      <c r="D85" s="193">
        <f>SUM(D86:D90)</f>
        <v>4499.66</v>
      </c>
      <c r="E85" s="193">
        <f>SUM(E86:E90)</f>
        <v>4577.99</v>
      </c>
      <c r="F85" s="193">
        <f>SUM(F86:F90)</f>
        <v>4725.3900000000003</v>
      </c>
      <c r="G85" s="193">
        <f>SUM(G86:G90)</f>
        <v>4725.3900000000003</v>
      </c>
      <c r="H85" s="180">
        <f t="shared" ref="H85:M85" si="55">SUM(H86:H90)</f>
        <v>2478.41</v>
      </c>
      <c r="I85" s="180">
        <f t="shared" si="55"/>
        <v>1962.52</v>
      </c>
      <c r="J85" s="180">
        <f t="shared" si="55"/>
        <v>327.96000000000004</v>
      </c>
      <c r="K85" s="180">
        <f t="shared" si="55"/>
        <v>1634.56</v>
      </c>
      <c r="L85" s="180">
        <f t="shared" si="55"/>
        <v>393.78249999999997</v>
      </c>
      <c r="M85" s="180">
        <f t="shared" si="55"/>
        <v>253.91000000000003</v>
      </c>
      <c r="N85" s="180">
        <v>179.03</v>
      </c>
      <c r="O85" s="180">
        <v>157.88</v>
      </c>
      <c r="P85" s="180">
        <v>35.97</v>
      </c>
      <c r="Q85" s="180">
        <v>43.09</v>
      </c>
      <c r="R85" s="180">
        <v>109.42</v>
      </c>
      <c r="S85" s="180">
        <v>65.94</v>
      </c>
      <c r="T85" s="180">
        <f>SUM(T86:T90)</f>
        <v>136.21333333333331</v>
      </c>
      <c r="U85" s="180">
        <f>SUM(U86:U90)</f>
        <v>0</v>
      </c>
      <c r="V85" s="180">
        <v>5.72</v>
      </c>
      <c r="W85" s="180"/>
      <c r="X85" s="181">
        <f>O85-N85</f>
        <v>-21.150000000000006</v>
      </c>
      <c r="Y85" s="191">
        <f>O85/N85</f>
        <v>0.88186337485337651</v>
      </c>
      <c r="Z85" s="180">
        <f t="shared" ref="Z85:AH85" si="56">SUM(Z86:Z90)</f>
        <v>311.64</v>
      </c>
      <c r="AA85" s="180">
        <f t="shared" si="56"/>
        <v>251.14000000000001</v>
      </c>
      <c r="AB85" s="180">
        <f t="shared" si="56"/>
        <v>206.53</v>
      </c>
      <c r="AC85" s="180">
        <f t="shared" si="56"/>
        <v>0</v>
      </c>
      <c r="AD85" s="180">
        <f t="shared" si="56"/>
        <v>27.33</v>
      </c>
      <c r="AE85" s="180">
        <f t="shared" si="56"/>
        <v>0</v>
      </c>
      <c r="AF85" s="180">
        <f t="shared" si="56"/>
        <v>77.783299999999997</v>
      </c>
      <c r="AG85" s="180">
        <f t="shared" si="56"/>
        <v>0</v>
      </c>
      <c r="AH85" s="180">
        <f t="shared" si="56"/>
        <v>0</v>
      </c>
      <c r="AI85" s="180"/>
      <c r="AJ85" s="181">
        <f>AC85-AB85</f>
        <v>-206.53</v>
      </c>
      <c r="AK85" s="192">
        <f>AC85/AB85</f>
        <v>0</v>
      </c>
      <c r="AL85" s="180">
        <f t="shared" ref="AL85:AT85" si="57">SUM(AL86:AL90)</f>
        <v>311.64</v>
      </c>
      <c r="AM85" s="180">
        <f t="shared" si="57"/>
        <v>251.14000000000001</v>
      </c>
      <c r="AN85" s="180">
        <f t="shared" si="57"/>
        <v>206.53</v>
      </c>
      <c r="AO85" s="180">
        <f t="shared" si="57"/>
        <v>0</v>
      </c>
      <c r="AP85" s="180">
        <f t="shared" si="57"/>
        <v>27.33</v>
      </c>
      <c r="AQ85" s="180">
        <f t="shared" si="57"/>
        <v>0</v>
      </c>
      <c r="AR85" s="180">
        <f t="shared" si="57"/>
        <v>77.783299999999997</v>
      </c>
      <c r="AS85" s="180">
        <f t="shared" si="57"/>
        <v>0</v>
      </c>
      <c r="AT85" s="180">
        <f t="shared" si="57"/>
        <v>0</v>
      </c>
      <c r="AU85" s="180"/>
      <c r="AV85" s="181">
        <f>AO85-AN85</f>
        <v>-206.53</v>
      </c>
      <c r="AW85" s="192">
        <f>AO85/AN85</f>
        <v>0</v>
      </c>
      <c r="AX85" s="179">
        <f t="shared" si="40"/>
        <v>2362.6950000000002</v>
      </c>
      <c r="AY85" s="179">
        <f>SUM(AY86:AY90)</f>
        <v>4255.38</v>
      </c>
      <c r="AZ85" s="184">
        <f t="shared" ref="AZ85:BG85" si="58">SUM(AZ86:AZ90)</f>
        <v>0</v>
      </c>
      <c r="BA85" s="185">
        <f>SUM(BA86:BA90)</f>
        <v>2422.59</v>
      </c>
      <c r="BB85" s="185">
        <f t="shared" si="58"/>
        <v>0</v>
      </c>
      <c r="BC85" s="185">
        <f t="shared" si="58"/>
        <v>1801.0700000000002</v>
      </c>
      <c r="BD85" s="185">
        <f t="shared" si="58"/>
        <v>0</v>
      </c>
      <c r="BE85" s="186">
        <f t="shared" si="58"/>
        <v>221.00000000000003</v>
      </c>
      <c r="BF85" s="184">
        <f t="shared" si="58"/>
        <v>71.64</v>
      </c>
      <c r="BG85" s="185">
        <f t="shared" si="58"/>
        <v>0</v>
      </c>
      <c r="BH85" s="185"/>
      <c r="BI85" s="186"/>
      <c r="BJ85" s="426">
        <f t="shared" si="52"/>
        <v>2422.59</v>
      </c>
      <c r="BK85" s="481" t="e">
        <f>BA85/AZ85</f>
        <v>#DIV/0!</v>
      </c>
      <c r="BL85" s="468"/>
      <c r="BM85" s="469">
        <f>SUM(BM86:BM90)</f>
        <v>251.13993000000002</v>
      </c>
      <c r="BN85" s="264"/>
      <c r="BO85" s="470"/>
      <c r="BP85" s="471"/>
      <c r="BQ85" s="469"/>
      <c r="BR85" s="472"/>
      <c r="BS85" s="473"/>
      <c r="BT85" s="471"/>
      <c r="BU85" s="469"/>
      <c r="BV85" s="472"/>
      <c r="BW85" s="473"/>
      <c r="BX85" s="474">
        <v>3275.33</v>
      </c>
      <c r="BY85" s="475">
        <f>F85</f>
        <v>4725.3900000000003</v>
      </c>
      <c r="BZ85" s="320">
        <f t="shared" si="53"/>
        <v>505.04993000000002</v>
      </c>
      <c r="CA85" s="469">
        <f>BZ85-BY85</f>
        <v>-4220.3400700000002</v>
      </c>
      <c r="CB85" s="476">
        <f>BZ85/BY85</f>
        <v>0.10688005222849331</v>
      </c>
      <c r="CC85" s="307">
        <f t="shared" si="54"/>
        <v>-4072.9400699999997</v>
      </c>
      <c r="CD85" s="477">
        <f>SUM(CD86:CD90)</f>
        <v>698.12035000000014</v>
      </c>
      <c r="CE85" s="185">
        <f>SUM(CE86:CE90)</f>
        <v>136.19999999999999</v>
      </c>
      <c r="CF85" s="478"/>
      <c r="CG85" s="465"/>
      <c r="CH85" s="465"/>
      <c r="CI85" s="465"/>
      <c r="CJ85" s="465"/>
      <c r="CK85" s="465"/>
      <c r="CL85" s="465"/>
      <c r="CM85" s="466"/>
      <c r="CN85" s="466"/>
      <c r="CO85" s="466"/>
      <c r="CP85" s="466"/>
      <c r="CQ85" s="466"/>
      <c r="CR85" s="466"/>
      <c r="CS85" s="466"/>
      <c r="CT85" s="466"/>
      <c r="CU85" s="466"/>
      <c r="CV85" s="466"/>
      <c r="CW85" s="466"/>
      <c r="CX85" s="466"/>
      <c r="CY85" s="466"/>
      <c r="CZ85" s="466"/>
      <c r="DA85" s="179">
        <f t="shared" ref="DA85:DG85" si="59">SUM(DA86:DA90)</f>
        <v>4577.99</v>
      </c>
      <c r="DB85" s="179">
        <f t="shared" si="59"/>
        <v>4725.3900000000003</v>
      </c>
      <c r="DC85" s="193">
        <f t="shared" si="59"/>
        <v>4725.3900000000003</v>
      </c>
      <c r="DD85" s="193">
        <f t="shared" si="59"/>
        <v>5033.37</v>
      </c>
      <c r="DE85" s="193">
        <f t="shared" si="59"/>
        <v>5865.119999999999</v>
      </c>
      <c r="DF85" s="193">
        <f t="shared" si="59"/>
        <v>2932.5599999999995</v>
      </c>
      <c r="DG85" s="193">
        <f t="shared" si="59"/>
        <v>2932.5599999999995</v>
      </c>
      <c r="DI85" s="826"/>
      <c r="DJ85" s="788"/>
    </row>
    <row r="86" spans="1:114" s="783" customFormat="1" hidden="1">
      <c r="A86" s="177"/>
      <c r="B86" s="187" t="s">
        <v>23</v>
      </c>
      <c r="C86" s="837" t="s">
        <v>54</v>
      </c>
      <c r="D86" s="31">
        <v>63.53</v>
      </c>
      <c r="E86" s="31">
        <v>46.32</v>
      </c>
      <c r="F86" s="31">
        <v>46.32</v>
      </c>
      <c r="G86" s="31">
        <v>46.32</v>
      </c>
      <c r="H86" s="134">
        <v>49.58</v>
      </c>
      <c r="I86" s="134">
        <f>G86-H86</f>
        <v>-3.259999999999998</v>
      </c>
      <c r="J86" s="134">
        <v>6.56</v>
      </c>
      <c r="K86" s="134">
        <f>I86-J86</f>
        <v>-9.8199999999999967</v>
      </c>
      <c r="L86" s="134">
        <f>G86/12</f>
        <v>3.86</v>
      </c>
      <c r="M86" s="134"/>
      <c r="N86" s="134">
        <f>H86/12</f>
        <v>4.1316666666666668</v>
      </c>
      <c r="O86" s="134"/>
      <c r="P86" s="134"/>
      <c r="Q86" s="134"/>
      <c r="R86" s="134">
        <f>J86/12</f>
        <v>0.54666666666666663</v>
      </c>
      <c r="S86" s="134"/>
      <c r="T86" s="134">
        <f>K86/12</f>
        <v>-0.81833333333333302</v>
      </c>
      <c r="U86" s="134"/>
      <c r="V86" s="134"/>
      <c r="W86" s="134"/>
      <c r="X86" s="51">
        <f>O86-N86</f>
        <v>-4.1316666666666668</v>
      </c>
      <c r="Y86" s="55">
        <f>O86/N86</f>
        <v>0</v>
      </c>
      <c r="Z86" s="134">
        <v>6.23</v>
      </c>
      <c r="AA86" s="134">
        <v>2.36</v>
      </c>
      <c r="AB86" s="134">
        <v>4.13</v>
      </c>
      <c r="AC86" s="134"/>
      <c r="AD86" s="134">
        <v>0.55000000000000004</v>
      </c>
      <c r="AE86" s="134"/>
      <c r="AF86" s="134">
        <v>1.5558000000000001</v>
      </c>
      <c r="AG86" s="134"/>
      <c r="AH86" s="134"/>
      <c r="AI86" s="134"/>
      <c r="AJ86" s="51">
        <f>AC86-AB86</f>
        <v>-4.13</v>
      </c>
      <c r="AK86" s="56">
        <f>AC86/AB86</f>
        <v>0</v>
      </c>
      <c r="AL86" s="134">
        <v>6.23</v>
      </c>
      <c r="AM86" s="134">
        <v>2.36</v>
      </c>
      <c r="AN86" s="134">
        <v>4.13</v>
      </c>
      <c r="AO86" s="134"/>
      <c r="AP86" s="134">
        <v>0.55000000000000004</v>
      </c>
      <c r="AQ86" s="134"/>
      <c r="AR86" s="134">
        <v>1.5558000000000001</v>
      </c>
      <c r="AS86" s="134"/>
      <c r="AT86" s="134"/>
      <c r="AU86" s="134"/>
      <c r="AV86" s="51">
        <f>AO86-AN86</f>
        <v>-4.13</v>
      </c>
      <c r="AW86" s="56">
        <f>AO86/AN86</f>
        <v>0</v>
      </c>
      <c r="AX86" s="31">
        <f t="shared" si="40"/>
        <v>23.16</v>
      </c>
      <c r="AY86" s="31">
        <v>44.17</v>
      </c>
      <c r="AZ86" s="109"/>
      <c r="BA86" s="62">
        <v>24.28</v>
      </c>
      <c r="BB86" s="62"/>
      <c r="BC86" s="62">
        <v>18.41</v>
      </c>
      <c r="BD86" s="62"/>
      <c r="BE86" s="110">
        <v>2.2799999999999998</v>
      </c>
      <c r="BF86" s="109">
        <v>0.75</v>
      </c>
      <c r="BG86" s="62"/>
      <c r="BH86" s="62"/>
      <c r="BI86" s="110"/>
      <c r="BJ86" s="426">
        <f t="shared" si="52"/>
        <v>24.28</v>
      </c>
      <c r="BK86" s="46" t="e">
        <f>BA86/AZ86</f>
        <v>#DIV/0!</v>
      </c>
      <c r="BL86" s="428"/>
      <c r="BM86" s="61">
        <v>2.36442</v>
      </c>
      <c r="BN86" s="62"/>
      <c r="BO86" s="470"/>
      <c r="BP86" s="64"/>
      <c r="BQ86" s="61"/>
      <c r="BR86" s="65"/>
      <c r="BS86" s="66"/>
      <c r="BT86" s="64"/>
      <c r="BU86" s="61"/>
      <c r="BV86" s="65"/>
      <c r="BW86" s="66"/>
      <c r="BX86" s="431"/>
      <c r="BY86" s="68"/>
      <c r="BZ86" s="69">
        <f t="shared" si="53"/>
        <v>2.36442</v>
      </c>
      <c r="CA86" s="70"/>
      <c r="CB86" s="71"/>
      <c r="CC86" s="72">
        <f t="shared" si="54"/>
        <v>-43.955579999999998</v>
      </c>
      <c r="CD86" s="434">
        <v>14.52</v>
      </c>
      <c r="CE86" s="62"/>
      <c r="CF86" s="73"/>
      <c r="CG86" s="74"/>
      <c r="CH86" s="74"/>
      <c r="CI86" s="74"/>
      <c r="CJ86" s="74"/>
      <c r="CK86" s="74"/>
      <c r="CL86" s="74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31">
        <v>46.32</v>
      </c>
      <c r="DB86" s="31">
        <v>46.32</v>
      </c>
      <c r="DC86" s="31">
        <v>46.32</v>
      </c>
      <c r="DD86" s="31">
        <v>51.55</v>
      </c>
      <c r="DE86" s="31">
        <v>57.35</v>
      </c>
      <c r="DF86" s="31">
        <f t="shared" si="50"/>
        <v>28.675000000000001</v>
      </c>
      <c r="DG86" s="134">
        <f>DF86</f>
        <v>28.675000000000001</v>
      </c>
      <c r="DI86" s="826"/>
      <c r="DJ86" s="788"/>
    </row>
    <row r="87" spans="1:114" s="783" customFormat="1" hidden="1">
      <c r="A87" s="177"/>
      <c r="B87" s="187" t="s">
        <v>24</v>
      </c>
      <c r="C87" s="837" t="s">
        <v>54</v>
      </c>
      <c r="D87" s="31">
        <v>1114.1300000000001</v>
      </c>
      <c r="E87" s="31">
        <v>1113.8499999999999</v>
      </c>
      <c r="F87" s="31">
        <v>1113.8499999999999</v>
      </c>
      <c r="G87" s="31">
        <v>1113.8499999999999</v>
      </c>
      <c r="H87" s="134">
        <v>717.5</v>
      </c>
      <c r="I87" s="134">
        <f>G87-H87</f>
        <v>396.34999999999991</v>
      </c>
      <c r="J87" s="134">
        <v>94.95</v>
      </c>
      <c r="K87" s="134">
        <f>I87-J87</f>
        <v>301.39999999999992</v>
      </c>
      <c r="L87" s="134">
        <f>G87/12</f>
        <v>92.820833333333326</v>
      </c>
      <c r="M87" s="134">
        <v>71.47</v>
      </c>
      <c r="N87" s="134">
        <f>H87/12</f>
        <v>59.791666666666664</v>
      </c>
      <c r="O87" s="134"/>
      <c r="P87" s="134"/>
      <c r="Q87" s="134"/>
      <c r="R87" s="134">
        <f>J87/12</f>
        <v>7.9125000000000005</v>
      </c>
      <c r="S87" s="134"/>
      <c r="T87" s="134">
        <f>K87/12</f>
        <v>25.11666666666666</v>
      </c>
      <c r="U87" s="134"/>
      <c r="V87" s="134"/>
      <c r="W87" s="134"/>
      <c r="X87" s="51">
        <f>O87-N87</f>
        <v>-59.791666666666664</v>
      </c>
      <c r="Y87" s="55">
        <f>O87/N87</f>
        <v>0</v>
      </c>
      <c r="Z87" s="134">
        <v>90.22</v>
      </c>
      <c r="AA87" s="134">
        <v>63.7</v>
      </c>
      <c r="AB87" s="134">
        <v>59.79</v>
      </c>
      <c r="AC87" s="134"/>
      <c r="AD87" s="134">
        <v>7.91</v>
      </c>
      <c r="AE87" s="134"/>
      <c r="AF87" s="134">
        <v>22.52</v>
      </c>
      <c r="AG87" s="134"/>
      <c r="AH87" s="134"/>
      <c r="AI87" s="134"/>
      <c r="AJ87" s="51">
        <f>AC87-AB87</f>
        <v>-59.79</v>
      </c>
      <c r="AK87" s="56">
        <f>AC87/AB87</f>
        <v>0</v>
      </c>
      <c r="AL87" s="134">
        <v>90.22</v>
      </c>
      <c r="AM87" s="134">
        <v>63.7</v>
      </c>
      <c r="AN87" s="134">
        <v>59.79</v>
      </c>
      <c r="AO87" s="134"/>
      <c r="AP87" s="134">
        <v>7.91</v>
      </c>
      <c r="AQ87" s="134"/>
      <c r="AR87" s="134">
        <v>22.52</v>
      </c>
      <c r="AS87" s="134"/>
      <c r="AT87" s="134"/>
      <c r="AU87" s="134"/>
      <c r="AV87" s="51">
        <f>AO87-AN87</f>
        <v>-59.79</v>
      </c>
      <c r="AW87" s="56">
        <f>AO87/AN87</f>
        <v>0</v>
      </c>
      <c r="AX87" s="31">
        <f t="shared" si="40"/>
        <v>556.92499999999995</v>
      </c>
      <c r="AY87" s="31">
        <v>1032.26</v>
      </c>
      <c r="AZ87" s="109"/>
      <c r="BA87" s="62">
        <v>590.48</v>
      </c>
      <c r="BB87" s="62"/>
      <c r="BC87" s="62">
        <v>432.89</v>
      </c>
      <c r="BD87" s="62"/>
      <c r="BE87" s="110">
        <v>58.04</v>
      </c>
      <c r="BF87" s="109">
        <v>18.809999999999999</v>
      </c>
      <c r="BG87" s="62"/>
      <c r="BH87" s="62"/>
      <c r="BI87" s="110"/>
      <c r="BJ87" s="426">
        <f t="shared" si="52"/>
        <v>590.48</v>
      </c>
      <c r="BK87" s="46" t="e">
        <f>BA87/AZ87</f>
        <v>#DIV/0!</v>
      </c>
      <c r="BL87" s="428"/>
      <c r="BM87" s="61">
        <v>63.703650000000003</v>
      </c>
      <c r="BN87" s="62"/>
      <c r="BO87" s="470"/>
      <c r="BP87" s="64"/>
      <c r="BQ87" s="61"/>
      <c r="BR87" s="65"/>
      <c r="BS87" s="66"/>
      <c r="BT87" s="64"/>
      <c r="BU87" s="61"/>
      <c r="BV87" s="65"/>
      <c r="BW87" s="66"/>
      <c r="BX87" s="431"/>
      <c r="BY87" s="68"/>
      <c r="BZ87" s="69">
        <f t="shared" si="53"/>
        <v>135.17365000000001</v>
      </c>
      <c r="CA87" s="70"/>
      <c r="CB87" s="71"/>
      <c r="CC87" s="72">
        <f t="shared" si="54"/>
        <v>-978.67634999999996</v>
      </c>
      <c r="CD87" s="434">
        <f>BZ87-CE87</f>
        <v>135.17365000000001</v>
      </c>
      <c r="CE87" s="62"/>
      <c r="CF87" s="73"/>
      <c r="CG87" s="74"/>
      <c r="CH87" s="74"/>
      <c r="CI87" s="74"/>
      <c r="CJ87" s="74"/>
      <c r="CK87" s="74"/>
      <c r="CL87" s="74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31">
        <v>1113.8499999999999</v>
      </c>
      <c r="DB87" s="31"/>
      <c r="DC87" s="31"/>
      <c r="DD87" s="31">
        <v>5.35</v>
      </c>
      <c r="DE87" s="31"/>
      <c r="DF87" s="31">
        <f t="shared" si="50"/>
        <v>0</v>
      </c>
      <c r="DG87" s="134">
        <f t="shared" si="51"/>
        <v>0</v>
      </c>
      <c r="DI87" s="826"/>
      <c r="DJ87" s="788"/>
    </row>
    <row r="88" spans="1:114" s="783" customFormat="1" hidden="1">
      <c r="A88" s="177"/>
      <c r="B88" s="187" t="s">
        <v>178</v>
      </c>
      <c r="C88" s="837" t="s">
        <v>54</v>
      </c>
      <c r="D88" s="31">
        <v>447.46</v>
      </c>
      <c r="E88" s="31">
        <v>516.01</v>
      </c>
      <c r="F88" s="31">
        <v>516.01</v>
      </c>
      <c r="G88" s="31">
        <v>516.01</v>
      </c>
      <c r="H88" s="134">
        <v>335.54</v>
      </c>
      <c r="I88" s="134">
        <f>G88-H88</f>
        <v>180.46999999999997</v>
      </c>
      <c r="J88" s="134">
        <v>44.4</v>
      </c>
      <c r="K88" s="134">
        <f>I88-J88</f>
        <v>136.06999999999996</v>
      </c>
      <c r="L88" s="134">
        <f>G88/12</f>
        <v>43.000833333333333</v>
      </c>
      <c r="M88" s="134">
        <v>29.39</v>
      </c>
      <c r="N88" s="134">
        <f>H88/12</f>
        <v>27.96166666666667</v>
      </c>
      <c r="O88" s="134"/>
      <c r="P88" s="134"/>
      <c r="Q88" s="134"/>
      <c r="R88" s="134">
        <f>J88/12</f>
        <v>3.6999999999999997</v>
      </c>
      <c r="S88" s="134"/>
      <c r="T88" s="134">
        <f>K88/12</f>
        <v>11.339166666666664</v>
      </c>
      <c r="U88" s="134"/>
      <c r="V88" s="134"/>
      <c r="W88" s="134"/>
      <c r="X88" s="51">
        <f>O88-N88</f>
        <v>-27.96166666666667</v>
      </c>
      <c r="Y88" s="55">
        <f>O88/N88</f>
        <v>0</v>
      </c>
      <c r="Z88" s="134">
        <v>42.19</v>
      </c>
      <c r="AA88" s="134">
        <v>34.4</v>
      </c>
      <c r="AB88" s="134">
        <v>27.96</v>
      </c>
      <c r="AC88" s="134"/>
      <c r="AD88" s="134">
        <v>3.7</v>
      </c>
      <c r="AE88" s="134"/>
      <c r="AF88" s="134">
        <v>10.53</v>
      </c>
      <c r="AG88" s="134"/>
      <c r="AH88" s="134"/>
      <c r="AI88" s="134"/>
      <c r="AJ88" s="51">
        <f>AC88-AB88</f>
        <v>-27.96</v>
      </c>
      <c r="AK88" s="56">
        <f>AC88/AB88</f>
        <v>0</v>
      </c>
      <c r="AL88" s="134">
        <v>42.19</v>
      </c>
      <c r="AM88" s="134">
        <v>34.4</v>
      </c>
      <c r="AN88" s="134">
        <v>27.96</v>
      </c>
      <c r="AO88" s="134"/>
      <c r="AP88" s="134">
        <v>3.7</v>
      </c>
      <c r="AQ88" s="134"/>
      <c r="AR88" s="134">
        <v>10.53</v>
      </c>
      <c r="AS88" s="134"/>
      <c r="AT88" s="134"/>
      <c r="AU88" s="134"/>
      <c r="AV88" s="51">
        <f>AO88-AN88</f>
        <v>-27.96</v>
      </c>
      <c r="AW88" s="56">
        <f>AO88/AN88</f>
        <v>0</v>
      </c>
      <c r="AX88" s="31">
        <f t="shared" si="40"/>
        <v>258.005</v>
      </c>
      <c r="AY88" s="31">
        <v>484.03</v>
      </c>
      <c r="AZ88" s="109"/>
      <c r="BA88" s="62">
        <v>267.25</v>
      </c>
      <c r="BB88" s="62"/>
      <c r="BC88" s="62">
        <v>206.89</v>
      </c>
      <c r="BD88" s="62"/>
      <c r="BE88" s="110">
        <v>26.84</v>
      </c>
      <c r="BF88" s="109">
        <v>8.6999999999999993</v>
      </c>
      <c r="BG88" s="62"/>
      <c r="BH88" s="62"/>
      <c r="BI88" s="110"/>
      <c r="BJ88" s="426">
        <f t="shared" si="52"/>
        <v>267.25</v>
      </c>
      <c r="BK88" s="46" t="e">
        <f>BA88/AZ88</f>
        <v>#DIV/0!</v>
      </c>
      <c r="BL88" s="428"/>
      <c r="BM88" s="61">
        <v>34.395159999999997</v>
      </c>
      <c r="BN88" s="62"/>
      <c r="BO88" s="470"/>
      <c r="BP88" s="64"/>
      <c r="BQ88" s="61"/>
      <c r="BR88" s="65"/>
      <c r="BS88" s="66"/>
      <c r="BT88" s="64"/>
      <c r="BU88" s="61"/>
      <c r="BV88" s="65"/>
      <c r="BW88" s="66"/>
      <c r="BX88" s="431"/>
      <c r="BY88" s="68"/>
      <c r="BZ88" s="69">
        <f t="shared" si="53"/>
        <v>63.785159999999998</v>
      </c>
      <c r="CA88" s="70"/>
      <c r="CB88" s="71"/>
      <c r="CC88" s="72">
        <f t="shared" si="54"/>
        <v>-452.22483999999997</v>
      </c>
      <c r="CD88" s="434">
        <v>380.9</v>
      </c>
      <c r="CE88" s="62"/>
      <c r="CF88" s="73"/>
      <c r="CG88" s="74"/>
      <c r="CH88" s="74"/>
      <c r="CI88" s="74"/>
      <c r="CJ88" s="74"/>
      <c r="CK88" s="74"/>
      <c r="CL88" s="74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31">
        <v>516.01</v>
      </c>
      <c r="DB88" s="31">
        <v>1629.86</v>
      </c>
      <c r="DC88" s="31">
        <v>1629.86</v>
      </c>
      <c r="DD88" s="31">
        <v>927.35</v>
      </c>
      <c r="DE88" s="31">
        <v>2091.58</v>
      </c>
      <c r="DF88" s="31">
        <f t="shared" si="50"/>
        <v>1045.79</v>
      </c>
      <c r="DG88" s="134">
        <f>DF88</f>
        <v>1045.79</v>
      </c>
      <c r="DH88" s="835"/>
      <c r="DI88" s="826"/>
      <c r="DJ88" s="788"/>
    </row>
    <row r="89" spans="1:114" s="783" customFormat="1" hidden="1">
      <c r="A89" s="177"/>
      <c r="B89" s="187" t="s">
        <v>26</v>
      </c>
      <c r="C89" s="837" t="s">
        <v>54</v>
      </c>
      <c r="D89" s="31">
        <v>2665.39</v>
      </c>
      <c r="E89" s="31">
        <v>2617.35</v>
      </c>
      <c r="F89" s="31">
        <f>2617.35+147.4</f>
        <v>2764.75</v>
      </c>
      <c r="G89" s="31">
        <f>2617.35+147.4</f>
        <v>2764.75</v>
      </c>
      <c r="H89" s="134">
        <v>1375.79</v>
      </c>
      <c r="I89" s="134">
        <f>G89-H89</f>
        <v>1388.96</v>
      </c>
      <c r="J89" s="134">
        <v>182.05</v>
      </c>
      <c r="K89" s="134">
        <f>I89-J89</f>
        <v>1206.9100000000001</v>
      </c>
      <c r="L89" s="134">
        <f>G89/12</f>
        <v>230.39583333333334</v>
      </c>
      <c r="M89" s="134">
        <v>153.05000000000001</v>
      </c>
      <c r="N89" s="134">
        <f>H89/12</f>
        <v>114.64916666666666</v>
      </c>
      <c r="O89" s="134"/>
      <c r="P89" s="134"/>
      <c r="Q89" s="134"/>
      <c r="R89" s="134">
        <f>J89/12</f>
        <v>15.170833333333334</v>
      </c>
      <c r="S89" s="134"/>
      <c r="T89" s="134">
        <f>K89/12</f>
        <v>100.57583333333334</v>
      </c>
      <c r="U89" s="134"/>
      <c r="V89" s="134"/>
      <c r="W89" s="134"/>
      <c r="X89" s="51">
        <f>O89-N89</f>
        <v>-114.64916666666666</v>
      </c>
      <c r="Y89" s="55">
        <f>O89/N89</f>
        <v>0</v>
      </c>
      <c r="Z89" s="134">
        <v>173</v>
      </c>
      <c r="AA89" s="134">
        <v>150.68</v>
      </c>
      <c r="AB89" s="134">
        <v>114.65</v>
      </c>
      <c r="AC89" s="134"/>
      <c r="AD89" s="134">
        <v>15.17</v>
      </c>
      <c r="AE89" s="134"/>
      <c r="AF89" s="134">
        <v>43.177500000000002</v>
      </c>
      <c r="AG89" s="134"/>
      <c r="AH89" s="134"/>
      <c r="AI89" s="134"/>
      <c r="AJ89" s="51">
        <f>AC89-AB89</f>
        <v>-114.65</v>
      </c>
      <c r="AK89" s="56">
        <f>AC89/AB89</f>
        <v>0</v>
      </c>
      <c r="AL89" s="134">
        <v>173</v>
      </c>
      <c r="AM89" s="134">
        <v>150.68</v>
      </c>
      <c r="AN89" s="134">
        <v>114.65</v>
      </c>
      <c r="AO89" s="134"/>
      <c r="AP89" s="134">
        <v>15.17</v>
      </c>
      <c r="AQ89" s="134"/>
      <c r="AR89" s="134">
        <v>43.177500000000002</v>
      </c>
      <c r="AS89" s="134"/>
      <c r="AT89" s="134"/>
      <c r="AU89" s="134"/>
      <c r="AV89" s="51">
        <f>AO89-AN89</f>
        <v>-114.65</v>
      </c>
      <c r="AW89" s="56">
        <f>AO89/AN89</f>
        <v>0</v>
      </c>
      <c r="AX89" s="31">
        <f t="shared" si="40"/>
        <v>1382.375</v>
      </c>
      <c r="AY89" s="31">
        <v>2433</v>
      </c>
      <c r="AZ89" s="109"/>
      <c r="BA89" s="62">
        <v>1374.67</v>
      </c>
      <c r="BB89" s="62"/>
      <c r="BC89" s="62">
        <v>1044.69</v>
      </c>
      <c r="BD89" s="62"/>
      <c r="BE89" s="110">
        <v>121.76</v>
      </c>
      <c r="BF89" s="109">
        <v>39.479999999999997</v>
      </c>
      <c r="BG89" s="62"/>
      <c r="BH89" s="62"/>
      <c r="BI89" s="110"/>
      <c r="BJ89" s="426">
        <f t="shared" si="52"/>
        <v>1374.67</v>
      </c>
      <c r="BK89" s="46" t="e">
        <f>BA89/AZ89</f>
        <v>#DIV/0!</v>
      </c>
      <c r="BL89" s="428"/>
      <c r="BM89" s="61">
        <v>150.67670000000001</v>
      </c>
      <c r="BN89" s="62"/>
      <c r="BO89" s="470"/>
      <c r="BP89" s="64"/>
      <c r="BQ89" s="61"/>
      <c r="BR89" s="65"/>
      <c r="BS89" s="66"/>
      <c r="BT89" s="64"/>
      <c r="BU89" s="61"/>
      <c r="BV89" s="65"/>
      <c r="BW89" s="66"/>
      <c r="BX89" s="431"/>
      <c r="BY89" s="68"/>
      <c r="BZ89" s="69">
        <f t="shared" si="53"/>
        <v>303.72670000000005</v>
      </c>
      <c r="CA89" s="70"/>
      <c r="CB89" s="71"/>
      <c r="CC89" s="72">
        <f t="shared" si="54"/>
        <v>-2313.6232999999997</v>
      </c>
      <c r="CD89" s="434">
        <f>BZ89-CE89</f>
        <v>167.52670000000006</v>
      </c>
      <c r="CE89" s="62">
        <v>136.19999999999999</v>
      </c>
      <c r="CF89" s="73"/>
      <c r="CG89" s="74"/>
      <c r="CH89" s="74"/>
      <c r="CI89" s="74"/>
      <c r="CJ89" s="74"/>
      <c r="CK89" s="74"/>
      <c r="CL89" s="74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31">
        <v>2617.35</v>
      </c>
      <c r="DB89" s="31">
        <f>2617.35+147.4</f>
        <v>2764.75</v>
      </c>
      <c r="DC89" s="31">
        <f>2617.35+147.4</f>
        <v>2764.75</v>
      </c>
      <c r="DD89" s="31">
        <v>3790.48</v>
      </c>
      <c r="DE89" s="31">
        <v>3344.29</v>
      </c>
      <c r="DF89" s="31">
        <f t="shared" si="50"/>
        <v>1672.145</v>
      </c>
      <c r="DG89" s="134">
        <f>DF89</f>
        <v>1672.145</v>
      </c>
      <c r="DI89" s="826"/>
      <c r="DJ89" s="788"/>
    </row>
    <row r="90" spans="1:114" s="783" customFormat="1" hidden="1">
      <c r="A90" s="194"/>
      <c r="B90" s="195" t="s">
        <v>120</v>
      </c>
      <c r="C90" s="837" t="s">
        <v>54</v>
      </c>
      <c r="D90" s="31">
        <v>209.15</v>
      </c>
      <c r="E90" s="31">
        <v>284.45999999999998</v>
      </c>
      <c r="F90" s="31">
        <v>284.45999999999998</v>
      </c>
      <c r="G90" s="31">
        <v>284.45999999999998</v>
      </c>
      <c r="H90" s="145"/>
      <c r="I90" s="145"/>
      <c r="J90" s="145"/>
      <c r="K90" s="145"/>
      <c r="L90" s="145">
        <f>G90/12</f>
        <v>23.704999999999998</v>
      </c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96"/>
      <c r="Y90" s="197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96"/>
      <c r="AK90" s="198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96"/>
      <c r="AW90" s="198"/>
      <c r="AX90" s="144">
        <f t="shared" si="40"/>
        <v>142.22999999999999</v>
      </c>
      <c r="AY90" s="31">
        <v>261.92</v>
      </c>
      <c r="AZ90" s="149"/>
      <c r="BA90" s="62">
        <v>165.91</v>
      </c>
      <c r="BB90" s="150"/>
      <c r="BC90" s="62">
        <v>98.19</v>
      </c>
      <c r="BD90" s="150"/>
      <c r="BE90" s="110">
        <v>12.08</v>
      </c>
      <c r="BF90" s="109">
        <v>3.9</v>
      </c>
      <c r="BG90" s="150"/>
      <c r="BH90" s="150"/>
      <c r="BI90" s="151"/>
      <c r="BJ90" s="435"/>
      <c r="BK90" s="482"/>
      <c r="BL90" s="437"/>
      <c r="BM90" s="483"/>
      <c r="BN90" s="150"/>
      <c r="BO90" s="484"/>
      <c r="BP90" s="485"/>
      <c r="BQ90" s="483"/>
      <c r="BR90" s="486"/>
      <c r="BS90" s="487"/>
      <c r="BT90" s="485"/>
      <c r="BU90" s="483"/>
      <c r="BV90" s="486"/>
      <c r="BW90" s="487"/>
      <c r="BX90" s="440"/>
      <c r="BY90" s="488"/>
      <c r="BZ90" s="489"/>
      <c r="CA90" s="490"/>
      <c r="CB90" s="491"/>
      <c r="CC90" s="246"/>
      <c r="CD90" s="443"/>
      <c r="CE90" s="150"/>
      <c r="CF90" s="492"/>
      <c r="CG90" s="74"/>
      <c r="CH90" s="74"/>
      <c r="CI90" s="74"/>
      <c r="CJ90" s="74"/>
      <c r="CK90" s="74"/>
      <c r="CL90" s="74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31">
        <v>284.45999999999998</v>
      </c>
      <c r="DB90" s="31">
        <v>284.45999999999998</v>
      </c>
      <c r="DC90" s="31">
        <v>284.45999999999998</v>
      </c>
      <c r="DD90" s="31">
        <v>258.64</v>
      </c>
      <c r="DE90" s="31">
        <v>371.9</v>
      </c>
      <c r="DF90" s="31">
        <f t="shared" si="50"/>
        <v>185.95</v>
      </c>
      <c r="DG90" s="134">
        <f>DF90</f>
        <v>185.95</v>
      </c>
      <c r="DI90" s="826"/>
      <c r="DJ90" s="788"/>
    </row>
    <row r="91" spans="1:114" s="783" customFormat="1">
      <c r="A91" s="177" t="s">
        <v>257</v>
      </c>
      <c r="B91" s="178" t="s">
        <v>293</v>
      </c>
      <c r="C91" s="834" t="s">
        <v>54</v>
      </c>
      <c r="D91" s="179">
        <f>SUM(D92,D93,D96,D97,D98,D108)</f>
        <v>11763.16</v>
      </c>
      <c r="E91" s="179">
        <f>SUM(E92,E93,E96,E97,E98,E108)</f>
        <v>12546.7</v>
      </c>
      <c r="F91" s="179">
        <f>SUM(F92,F93,F96,F97,F98,F108)</f>
        <v>12138.880000000001</v>
      </c>
      <c r="G91" s="179">
        <f>SUM(G92,G93,G96,G97,G98,G108)</f>
        <v>11898.020000000002</v>
      </c>
      <c r="H91" s="180">
        <f t="shared" ref="H91:N91" si="60">SUM(H94:H133)</f>
        <v>533.58000000000004</v>
      </c>
      <c r="I91" s="180">
        <f t="shared" si="60"/>
        <v>141.82999999999998</v>
      </c>
      <c r="J91" s="180">
        <f t="shared" si="60"/>
        <v>36.880000000000003</v>
      </c>
      <c r="K91" s="180">
        <f t="shared" si="60"/>
        <v>104.95</v>
      </c>
      <c r="L91" s="180">
        <f t="shared" si="60"/>
        <v>55.645000000000003</v>
      </c>
      <c r="M91" s="180">
        <f t="shared" si="60"/>
        <v>65.555710000000005</v>
      </c>
      <c r="N91" s="180">
        <f t="shared" si="60"/>
        <v>43.96</v>
      </c>
      <c r="O91" s="180">
        <v>11.61</v>
      </c>
      <c r="P91" s="180">
        <v>0</v>
      </c>
      <c r="Q91" s="180"/>
      <c r="R91" s="180">
        <f>SUM(R94:R133)</f>
        <v>3.0379999999999998</v>
      </c>
      <c r="S91" s="180">
        <f>SUM(S94:S133)</f>
        <v>3.04</v>
      </c>
      <c r="T91" s="180">
        <f>SUM(T94:T133)</f>
        <v>8.6479999999999997</v>
      </c>
      <c r="U91" s="180">
        <f>SUM(U94:U133)</f>
        <v>8.65</v>
      </c>
      <c r="V91" s="180">
        <v>0</v>
      </c>
      <c r="W91" s="180"/>
      <c r="X91" s="181"/>
      <c r="Y91" s="191"/>
      <c r="Z91" s="180">
        <f t="shared" ref="Z91:AG91" si="61">SUM(Z94:Z133)</f>
        <v>55.65</v>
      </c>
      <c r="AA91" s="180">
        <f t="shared" si="61"/>
        <v>49.76</v>
      </c>
      <c r="AB91" s="180">
        <f t="shared" si="61"/>
        <v>43.96</v>
      </c>
      <c r="AC91" s="180">
        <f t="shared" si="61"/>
        <v>0</v>
      </c>
      <c r="AD91" s="180">
        <f t="shared" si="61"/>
        <v>3.04</v>
      </c>
      <c r="AE91" s="180">
        <f t="shared" si="61"/>
        <v>0</v>
      </c>
      <c r="AF91" s="180">
        <f t="shared" si="61"/>
        <v>8.65</v>
      </c>
      <c r="AG91" s="180">
        <f t="shared" si="61"/>
        <v>0</v>
      </c>
      <c r="AH91" s="180"/>
      <c r="AI91" s="180"/>
      <c r="AJ91" s="181"/>
      <c r="AK91" s="192"/>
      <c r="AL91" s="180">
        <f t="shared" ref="AL91:AS91" si="62">SUM(AL94:AL133)</f>
        <v>55.65</v>
      </c>
      <c r="AM91" s="180">
        <f t="shared" si="62"/>
        <v>49.76</v>
      </c>
      <c r="AN91" s="180">
        <f t="shared" si="62"/>
        <v>43.96</v>
      </c>
      <c r="AO91" s="180">
        <f t="shared" si="62"/>
        <v>0</v>
      </c>
      <c r="AP91" s="180">
        <f t="shared" si="62"/>
        <v>3.04</v>
      </c>
      <c r="AQ91" s="180">
        <f t="shared" si="62"/>
        <v>0</v>
      </c>
      <c r="AR91" s="180">
        <f t="shared" si="62"/>
        <v>8.65</v>
      </c>
      <c r="AS91" s="180">
        <f t="shared" si="62"/>
        <v>0</v>
      </c>
      <c r="AT91" s="180"/>
      <c r="AU91" s="180"/>
      <c r="AV91" s="181"/>
      <c r="AW91" s="192"/>
      <c r="AX91" s="179">
        <f t="shared" si="40"/>
        <v>5949.0100000000011</v>
      </c>
      <c r="AY91" s="179">
        <f>SUM(AY92,AY93,AY96,AY97,AY98,AY108)</f>
        <v>7919.7199999999993</v>
      </c>
      <c r="AZ91" s="184">
        <f>H91/4</f>
        <v>133.39500000000001</v>
      </c>
      <c r="BA91" s="185">
        <f>SUM(BA92,BA93,BA96,BA98,BA108)</f>
        <v>3156.2900000000004</v>
      </c>
      <c r="BB91" s="185">
        <f t="shared" ref="BB91:BG91" si="63">SUM(BB92,BB93,BB96,BB98,BB108)</f>
        <v>0</v>
      </c>
      <c r="BC91" s="185">
        <f t="shared" si="63"/>
        <v>574.95000000000005</v>
      </c>
      <c r="BD91" s="185">
        <f t="shared" si="63"/>
        <v>0</v>
      </c>
      <c r="BE91" s="186">
        <f t="shared" si="63"/>
        <v>7.46</v>
      </c>
      <c r="BF91" s="184">
        <f t="shared" si="63"/>
        <v>282.43</v>
      </c>
      <c r="BG91" s="185">
        <f t="shared" si="63"/>
        <v>320.49</v>
      </c>
      <c r="BH91" s="185"/>
      <c r="BI91" s="186"/>
      <c r="BJ91" s="426">
        <f>BA91-AZ91</f>
        <v>3022.8950000000004</v>
      </c>
      <c r="BK91" s="481"/>
      <c r="BL91" s="468"/>
      <c r="BM91" s="469">
        <f>SUM(BM94:BM133)</f>
        <v>49.757379999999998</v>
      </c>
      <c r="BN91" s="264"/>
      <c r="BO91" s="470"/>
      <c r="BP91" s="471"/>
      <c r="BQ91" s="469"/>
      <c r="BR91" s="472"/>
      <c r="BS91" s="473"/>
      <c r="BT91" s="471"/>
      <c r="BU91" s="469"/>
      <c r="BV91" s="472"/>
      <c r="BW91" s="473"/>
      <c r="BX91" s="474">
        <v>70.36</v>
      </c>
      <c r="BY91" s="475">
        <f>F91</f>
        <v>12138.880000000001</v>
      </c>
      <c r="BZ91" s="320">
        <f>M91+BM91+BQ91+BU91</f>
        <v>115.31309</v>
      </c>
      <c r="CA91" s="469">
        <f>BZ91-BY91</f>
        <v>-12023.566910000001</v>
      </c>
      <c r="CB91" s="476">
        <v>0</v>
      </c>
      <c r="CC91" s="307">
        <f>BZ91-E91</f>
        <v>-12431.386910000001</v>
      </c>
      <c r="CD91" s="477">
        <f>SUM(CD94:CD133)</f>
        <v>956.95999999999992</v>
      </c>
      <c r="CE91" s="185">
        <f>SUM(CE94:CE133)</f>
        <v>25.04</v>
      </c>
      <c r="CF91" s="478"/>
      <c r="CG91" s="465"/>
      <c r="CH91" s="465"/>
      <c r="CI91" s="465"/>
      <c r="CJ91" s="465"/>
      <c r="CK91" s="465"/>
      <c r="CL91" s="465"/>
      <c r="CM91" s="466"/>
      <c r="CN91" s="466"/>
      <c r="CO91" s="466"/>
      <c r="CP91" s="466"/>
      <c r="CQ91" s="466"/>
      <c r="CR91" s="466"/>
      <c r="CS91" s="466"/>
      <c r="CT91" s="466"/>
      <c r="CU91" s="466"/>
      <c r="CV91" s="466"/>
      <c r="CW91" s="466"/>
      <c r="CX91" s="466"/>
      <c r="CY91" s="466"/>
      <c r="CZ91" s="466"/>
      <c r="DA91" s="179" t="e">
        <f>SUM(DA92,DA93,DA96,DA98,DA108,DA97)</f>
        <v>#REF!</v>
      </c>
      <c r="DB91" s="179">
        <f>SUM(DB92,DB93,DB96,DB98,DB108,DB97)</f>
        <v>13013.770000000002</v>
      </c>
      <c r="DC91" s="179">
        <f>SUM(DC92,DC93,DC96,DC97,DC98,DC108)</f>
        <v>10760.373</v>
      </c>
      <c r="DD91" s="179">
        <f>SUM(DD92,DD93,DD96,DD97,DD98,DD108)</f>
        <v>7204.7599999999993</v>
      </c>
      <c r="DE91" s="179">
        <f>SUM(DE92,DE93,DE96,DE97,DE98,DE108)</f>
        <v>10318.27</v>
      </c>
      <c r="DF91" s="179">
        <f>SUM(DF92,DF93,DF96,DF97,DF98,DF108)</f>
        <v>4809.1350000000002</v>
      </c>
      <c r="DG91" s="179">
        <f>SUM(DG92,DG93,DG96,DG97,DG98,DG108)</f>
        <v>5509.1350000000002</v>
      </c>
      <c r="DI91" s="826"/>
      <c r="DJ91" s="788"/>
    </row>
    <row r="92" spans="1:114" s="783" customFormat="1" hidden="1">
      <c r="A92" s="194" t="s">
        <v>258</v>
      </c>
      <c r="B92" s="199" t="s">
        <v>171</v>
      </c>
      <c r="C92" s="834" t="s">
        <v>54</v>
      </c>
      <c r="D92" s="179">
        <v>91.8</v>
      </c>
      <c r="E92" s="179">
        <v>97.3</v>
      </c>
      <c r="F92" s="179">
        <v>105.5</v>
      </c>
      <c r="G92" s="179">
        <v>105.5</v>
      </c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1"/>
      <c r="Y92" s="202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1"/>
      <c r="AK92" s="203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1"/>
      <c r="AW92" s="203"/>
      <c r="AX92" s="193">
        <f t="shared" si="40"/>
        <v>52.75</v>
      </c>
      <c r="AY92" s="193">
        <v>116.85</v>
      </c>
      <c r="AZ92" s="204"/>
      <c r="BA92" s="185">
        <v>57.33</v>
      </c>
      <c r="BB92" s="205"/>
      <c r="BC92" s="185">
        <v>31.68</v>
      </c>
      <c r="BD92" s="205"/>
      <c r="BE92" s="206">
        <v>2.8</v>
      </c>
      <c r="BF92" s="204">
        <v>21.05</v>
      </c>
      <c r="BG92" s="205"/>
      <c r="BH92" s="205"/>
      <c r="BI92" s="206"/>
      <c r="BJ92" s="435"/>
      <c r="BK92" s="493"/>
      <c r="BL92" s="494"/>
      <c r="BM92" s="495"/>
      <c r="BN92" s="205"/>
      <c r="BO92" s="484"/>
      <c r="BP92" s="496"/>
      <c r="BQ92" s="495"/>
      <c r="BR92" s="497"/>
      <c r="BS92" s="498"/>
      <c r="BT92" s="496"/>
      <c r="BU92" s="495"/>
      <c r="BV92" s="497"/>
      <c r="BW92" s="498"/>
      <c r="BX92" s="499"/>
      <c r="BY92" s="500"/>
      <c r="BZ92" s="501"/>
      <c r="CA92" s="502"/>
      <c r="CB92" s="503"/>
      <c r="CC92" s="282"/>
      <c r="CD92" s="504"/>
      <c r="CE92" s="205"/>
      <c r="CF92" s="505"/>
      <c r="CG92" s="465"/>
      <c r="CH92" s="465"/>
      <c r="CI92" s="465"/>
      <c r="CJ92" s="465"/>
      <c r="CK92" s="465"/>
      <c r="CL92" s="465"/>
      <c r="CM92" s="466"/>
      <c r="CN92" s="466"/>
      <c r="CO92" s="466"/>
      <c r="CP92" s="466"/>
      <c r="CQ92" s="466"/>
      <c r="CR92" s="466"/>
      <c r="CS92" s="466"/>
      <c r="CT92" s="466"/>
      <c r="CU92" s="466"/>
      <c r="CV92" s="466"/>
      <c r="CW92" s="466"/>
      <c r="CX92" s="466"/>
      <c r="CY92" s="466"/>
      <c r="CZ92" s="466"/>
      <c r="DA92" s="193">
        <v>97.3</v>
      </c>
      <c r="DB92" s="193">
        <v>116.85</v>
      </c>
      <c r="DC92" s="179">
        <v>116.85</v>
      </c>
      <c r="DD92" s="179">
        <v>90.84</v>
      </c>
      <c r="DE92" s="179">
        <v>106.38</v>
      </c>
      <c r="DF92" s="31">
        <f t="shared" si="50"/>
        <v>53.19</v>
      </c>
      <c r="DG92" s="134">
        <f>DF92</f>
        <v>53.19</v>
      </c>
      <c r="DH92" s="835"/>
      <c r="DI92" s="826"/>
      <c r="DJ92" s="788"/>
    </row>
    <row r="93" spans="1:114" s="783" customFormat="1" hidden="1">
      <c r="A93" s="194" t="s">
        <v>259</v>
      </c>
      <c r="B93" s="199" t="s">
        <v>172</v>
      </c>
      <c r="C93" s="834" t="s">
        <v>54</v>
      </c>
      <c r="D93" s="179">
        <f>SUM(D94,D95)</f>
        <v>104.96000000000001</v>
      </c>
      <c r="E93" s="179">
        <f>SUM(E94,E95)</f>
        <v>106.62</v>
      </c>
      <c r="F93" s="179">
        <f>SUM(F94,F95)</f>
        <v>110.19</v>
      </c>
      <c r="G93" s="179">
        <f>SUM(G94,G95)</f>
        <v>110.19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1"/>
      <c r="Y93" s="202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1"/>
      <c r="AK93" s="203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1"/>
      <c r="AW93" s="203"/>
      <c r="AX93" s="193">
        <f t="shared" si="40"/>
        <v>55.094999999999999</v>
      </c>
      <c r="AY93" s="193">
        <f>SUM(AY94,AY95)</f>
        <v>115.44000000000001</v>
      </c>
      <c r="AZ93" s="204"/>
      <c r="BA93" s="185">
        <f>SUM(BA94:BA95)</f>
        <v>64.69</v>
      </c>
      <c r="BB93" s="185">
        <f t="shared" ref="BB93:BG93" si="64">SUM(BB94:BB95)</f>
        <v>0</v>
      </c>
      <c r="BC93" s="185">
        <f t="shared" si="64"/>
        <v>36.080000000000005</v>
      </c>
      <c r="BD93" s="185">
        <f t="shared" si="64"/>
        <v>0</v>
      </c>
      <c r="BE93" s="186">
        <f t="shared" si="64"/>
        <v>4.1900000000000004</v>
      </c>
      <c r="BF93" s="184">
        <f t="shared" si="64"/>
        <v>19.72</v>
      </c>
      <c r="BG93" s="185">
        <f t="shared" si="64"/>
        <v>0</v>
      </c>
      <c r="BH93" s="205"/>
      <c r="BI93" s="206"/>
      <c r="BJ93" s="435"/>
      <c r="BK93" s="493"/>
      <c r="BL93" s="494"/>
      <c r="BM93" s="495"/>
      <c r="BN93" s="205"/>
      <c r="BO93" s="484"/>
      <c r="BP93" s="496"/>
      <c r="BQ93" s="495"/>
      <c r="BR93" s="497"/>
      <c r="BS93" s="498"/>
      <c r="BT93" s="496"/>
      <c r="BU93" s="495"/>
      <c r="BV93" s="497"/>
      <c r="BW93" s="498"/>
      <c r="BX93" s="499"/>
      <c r="BY93" s="500"/>
      <c r="BZ93" s="501"/>
      <c r="CA93" s="502"/>
      <c r="CB93" s="503"/>
      <c r="CC93" s="282"/>
      <c r="CD93" s="504"/>
      <c r="CE93" s="205"/>
      <c r="CF93" s="505"/>
      <c r="CG93" s="465"/>
      <c r="CH93" s="465"/>
      <c r="CI93" s="465"/>
      <c r="CJ93" s="465"/>
      <c r="CK93" s="465"/>
      <c r="CL93" s="465"/>
      <c r="CM93" s="466"/>
      <c r="CN93" s="466"/>
      <c r="CO93" s="466"/>
      <c r="CP93" s="466"/>
      <c r="CQ93" s="466"/>
      <c r="CR93" s="466"/>
      <c r="CS93" s="466"/>
      <c r="CT93" s="466"/>
      <c r="CU93" s="466"/>
      <c r="CV93" s="466"/>
      <c r="CW93" s="466"/>
      <c r="CX93" s="466"/>
      <c r="CY93" s="466"/>
      <c r="CZ93" s="466"/>
      <c r="DA93" s="193">
        <f>SUM(DA94,DA95)</f>
        <v>106.62</v>
      </c>
      <c r="DB93" s="193">
        <f>SUM(DB94,DB95)</f>
        <v>115.44000000000001</v>
      </c>
      <c r="DC93" s="179">
        <f>SUM(DC94,DC95)</f>
        <v>115.44000000000001</v>
      </c>
      <c r="DD93" s="179">
        <f>SUM(DD94,DD95)</f>
        <v>115.44000000000001</v>
      </c>
      <c r="DE93" s="179">
        <f>SUM(DE94,DE95)</f>
        <v>115.44000000000001</v>
      </c>
      <c r="DF93" s="31">
        <f t="shared" si="50"/>
        <v>57.720000000000006</v>
      </c>
      <c r="DG93" s="134">
        <f>DF93</f>
        <v>57.720000000000006</v>
      </c>
      <c r="DI93" s="826"/>
      <c r="DJ93" s="788"/>
    </row>
    <row r="94" spans="1:114" s="783" customFormat="1" hidden="1">
      <c r="A94" s="177"/>
      <c r="B94" s="187" t="s">
        <v>4</v>
      </c>
      <c r="C94" s="836" t="s">
        <v>54</v>
      </c>
      <c r="D94" s="31">
        <v>96.26</v>
      </c>
      <c r="E94" s="31">
        <v>96.26</v>
      </c>
      <c r="F94" s="31">
        <v>99.83</v>
      </c>
      <c r="G94" s="31">
        <v>99.83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>
        <v>0</v>
      </c>
      <c r="R94" s="134"/>
      <c r="S94" s="134"/>
      <c r="T94" s="134"/>
      <c r="U94" s="134"/>
      <c r="V94" s="134"/>
      <c r="W94" s="134"/>
      <c r="X94" s="54"/>
      <c r="Y94" s="55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54"/>
      <c r="AK94" s="56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54"/>
      <c r="AW94" s="56"/>
      <c r="AX94" s="179"/>
      <c r="AY94" s="31">
        <v>112.4</v>
      </c>
      <c r="AZ94" s="184"/>
      <c r="BA94" s="62">
        <v>58.95</v>
      </c>
      <c r="BB94" s="62"/>
      <c r="BC94" s="62">
        <v>32.270000000000003</v>
      </c>
      <c r="BD94" s="62"/>
      <c r="BE94" s="110">
        <v>3.68</v>
      </c>
      <c r="BF94" s="109">
        <v>17.14</v>
      </c>
      <c r="BG94" s="62"/>
      <c r="BH94" s="62"/>
      <c r="BI94" s="110"/>
      <c r="BJ94" s="426">
        <f>BA94-AZ94</f>
        <v>58.95</v>
      </c>
      <c r="BK94" s="46"/>
      <c r="BL94" s="428"/>
      <c r="BM94" s="61"/>
      <c r="BN94" s="62"/>
      <c r="BO94" s="470"/>
      <c r="BP94" s="64"/>
      <c r="BQ94" s="61"/>
      <c r="BR94" s="65"/>
      <c r="BS94" s="66"/>
      <c r="BT94" s="64"/>
      <c r="BU94" s="61"/>
      <c r="BV94" s="65"/>
      <c r="BW94" s="66"/>
      <c r="BX94" s="431"/>
      <c r="BY94" s="68"/>
      <c r="BZ94" s="69">
        <f>M94+BM94+BQ94+BU94</f>
        <v>0</v>
      </c>
      <c r="CA94" s="70"/>
      <c r="CB94" s="71"/>
      <c r="CC94" s="72">
        <f>BZ94-E94</f>
        <v>-96.26</v>
      </c>
      <c r="CD94" s="434">
        <v>20.54</v>
      </c>
      <c r="CE94" s="62">
        <v>5.14</v>
      </c>
      <c r="CF94" s="73"/>
      <c r="CG94" s="74"/>
      <c r="CH94" s="74"/>
      <c r="CI94" s="74"/>
      <c r="CJ94" s="74"/>
      <c r="CK94" s="74"/>
      <c r="CL94" s="74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31">
        <v>96.26</v>
      </c>
      <c r="DB94" s="31">
        <v>112.4</v>
      </c>
      <c r="DC94" s="31">
        <v>112.4</v>
      </c>
      <c r="DD94" s="31">
        <v>112.4</v>
      </c>
      <c r="DE94" s="31">
        <v>112.4</v>
      </c>
      <c r="DF94" s="31">
        <f t="shared" si="50"/>
        <v>56.2</v>
      </c>
      <c r="DG94" s="134">
        <f>DF94</f>
        <v>56.2</v>
      </c>
      <c r="DI94" s="826"/>
      <c r="DJ94" s="788"/>
    </row>
    <row r="95" spans="1:114" s="783" customFormat="1" ht="24" hidden="1">
      <c r="A95" s="177"/>
      <c r="B95" s="187" t="s">
        <v>239</v>
      </c>
      <c r="C95" s="836" t="s">
        <v>54</v>
      </c>
      <c r="D95" s="31">
        <v>8.6999999999999993</v>
      </c>
      <c r="E95" s="31">
        <v>10.36</v>
      </c>
      <c r="F95" s="31">
        <v>10.36</v>
      </c>
      <c r="G95" s="31">
        <v>10.36</v>
      </c>
      <c r="H95" s="134">
        <v>76.53</v>
      </c>
      <c r="I95" s="134">
        <v>20.34</v>
      </c>
      <c r="J95" s="134">
        <v>5.29</v>
      </c>
      <c r="K95" s="134">
        <v>15.05</v>
      </c>
      <c r="L95" s="134"/>
      <c r="M95" s="134"/>
      <c r="N95" s="134"/>
      <c r="O95" s="134"/>
      <c r="P95" s="134"/>
      <c r="Q95" s="134">
        <v>0</v>
      </c>
      <c r="R95" s="134"/>
      <c r="S95" s="134"/>
      <c r="T95" s="134"/>
      <c r="U95" s="134"/>
      <c r="V95" s="134"/>
      <c r="W95" s="134"/>
      <c r="X95" s="54"/>
      <c r="Y95" s="55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54"/>
      <c r="AK95" s="56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54"/>
      <c r="AW95" s="56"/>
      <c r="AX95" s="179">
        <f>G95/2</f>
        <v>5.18</v>
      </c>
      <c r="AY95" s="31">
        <v>3.04</v>
      </c>
      <c r="AZ95" s="109"/>
      <c r="BA95" s="62">
        <v>5.74</v>
      </c>
      <c r="BB95" s="62"/>
      <c r="BC95" s="62">
        <v>3.81</v>
      </c>
      <c r="BD95" s="62"/>
      <c r="BE95" s="110">
        <v>0.51</v>
      </c>
      <c r="BF95" s="109">
        <v>2.58</v>
      </c>
      <c r="BG95" s="62"/>
      <c r="BH95" s="62"/>
      <c r="BI95" s="110"/>
      <c r="BJ95" s="426">
        <f>BA95-AZ95</f>
        <v>5.74</v>
      </c>
      <c r="BK95" s="46"/>
      <c r="BL95" s="428"/>
      <c r="BM95" s="61"/>
      <c r="BN95" s="62"/>
      <c r="BO95" s="470"/>
      <c r="BP95" s="64"/>
      <c r="BQ95" s="61"/>
      <c r="BR95" s="65"/>
      <c r="BS95" s="66"/>
      <c r="BT95" s="64"/>
      <c r="BU95" s="61"/>
      <c r="BV95" s="65"/>
      <c r="BW95" s="66"/>
      <c r="BX95" s="431"/>
      <c r="BY95" s="68"/>
      <c r="BZ95" s="69">
        <v>99.41</v>
      </c>
      <c r="CA95" s="70"/>
      <c r="CB95" s="71"/>
      <c r="CC95" s="72">
        <f>BZ95-E95</f>
        <v>89.05</v>
      </c>
      <c r="CD95" s="434">
        <v>79.510000000000005</v>
      </c>
      <c r="CE95" s="62">
        <v>19.899999999999999</v>
      </c>
      <c r="CF95" s="73"/>
      <c r="CG95" s="74"/>
      <c r="CH95" s="74"/>
      <c r="CI95" s="74"/>
      <c r="CJ95" s="74"/>
      <c r="CK95" s="74"/>
      <c r="CL95" s="74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31">
        <v>10.36</v>
      </c>
      <c r="DB95" s="31">
        <v>3.04</v>
      </c>
      <c r="DC95" s="31">
        <v>3.04</v>
      </c>
      <c r="DD95" s="31">
        <v>3.04</v>
      </c>
      <c r="DE95" s="31">
        <v>3.04</v>
      </c>
      <c r="DF95" s="31">
        <f t="shared" si="50"/>
        <v>1.52</v>
      </c>
      <c r="DG95" s="134">
        <f>DF95</f>
        <v>1.52</v>
      </c>
      <c r="DI95" s="826"/>
      <c r="DJ95" s="788"/>
    </row>
    <row r="96" spans="1:114" s="783" customFormat="1" hidden="1">
      <c r="A96" s="194" t="s">
        <v>260</v>
      </c>
      <c r="B96" s="199" t="s">
        <v>173</v>
      </c>
      <c r="C96" s="834" t="s">
        <v>54</v>
      </c>
      <c r="D96" s="179">
        <v>273.27</v>
      </c>
      <c r="E96" s="179">
        <v>0</v>
      </c>
      <c r="F96" s="179">
        <v>0</v>
      </c>
      <c r="G96" s="179">
        <v>0</v>
      </c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1"/>
      <c r="Y96" s="202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1"/>
      <c r="AK96" s="203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1"/>
      <c r="AW96" s="203"/>
      <c r="AX96" s="193"/>
      <c r="AY96" s="193">
        <v>313.64999999999998</v>
      </c>
      <c r="AZ96" s="204"/>
      <c r="BA96" s="185">
        <v>273.27</v>
      </c>
      <c r="BB96" s="205"/>
      <c r="BC96" s="185">
        <v>0</v>
      </c>
      <c r="BD96" s="205"/>
      <c r="BE96" s="206">
        <v>0</v>
      </c>
      <c r="BF96" s="204">
        <v>0</v>
      </c>
      <c r="BG96" s="205"/>
      <c r="BH96" s="205"/>
      <c r="BI96" s="206"/>
      <c r="BJ96" s="435"/>
      <c r="BK96" s="493"/>
      <c r="BL96" s="494"/>
      <c r="BM96" s="495"/>
      <c r="BN96" s="205"/>
      <c r="BO96" s="484"/>
      <c r="BP96" s="496"/>
      <c r="BQ96" s="495"/>
      <c r="BR96" s="497"/>
      <c r="BS96" s="498"/>
      <c r="BT96" s="496"/>
      <c r="BU96" s="495"/>
      <c r="BV96" s="497"/>
      <c r="BW96" s="498"/>
      <c r="BX96" s="499"/>
      <c r="BY96" s="500"/>
      <c r="BZ96" s="501"/>
      <c r="CA96" s="502"/>
      <c r="CB96" s="503"/>
      <c r="CC96" s="282"/>
      <c r="CD96" s="504"/>
      <c r="CE96" s="205"/>
      <c r="CF96" s="505"/>
      <c r="CG96" s="465"/>
      <c r="CH96" s="465"/>
      <c r="CI96" s="465"/>
      <c r="CJ96" s="465"/>
      <c r="CK96" s="465"/>
      <c r="CL96" s="465"/>
      <c r="CM96" s="466"/>
      <c r="CN96" s="466"/>
      <c r="CO96" s="466"/>
      <c r="CP96" s="466"/>
      <c r="CQ96" s="466"/>
      <c r="CR96" s="466"/>
      <c r="CS96" s="466"/>
      <c r="CT96" s="466"/>
      <c r="CU96" s="466"/>
      <c r="CV96" s="466"/>
      <c r="CW96" s="466"/>
      <c r="CX96" s="466"/>
      <c r="CY96" s="466"/>
      <c r="CZ96" s="466"/>
      <c r="DA96" s="193" t="e">
        <f>SUM(DC96,#REF!,DF96)</f>
        <v>#REF!</v>
      </c>
      <c r="DB96" s="193">
        <v>943.2</v>
      </c>
      <c r="DC96" s="179">
        <v>943.2</v>
      </c>
      <c r="DD96" s="179">
        <v>943.2</v>
      </c>
      <c r="DE96" s="179">
        <v>943.2</v>
      </c>
      <c r="DF96" s="31">
        <f t="shared" si="50"/>
        <v>471.6</v>
      </c>
      <c r="DG96" s="134">
        <f>DF96</f>
        <v>471.6</v>
      </c>
      <c r="DI96" s="826"/>
      <c r="DJ96" s="788"/>
    </row>
    <row r="97" spans="1:114" s="783" customFormat="1" hidden="1">
      <c r="A97" s="194" t="s">
        <v>261</v>
      </c>
      <c r="B97" s="199" t="s">
        <v>100</v>
      </c>
      <c r="C97" s="834" t="s">
        <v>54</v>
      </c>
      <c r="D97" s="320">
        <v>476.12</v>
      </c>
      <c r="E97" s="320">
        <v>18.13</v>
      </c>
      <c r="F97" s="320">
        <v>0</v>
      </c>
      <c r="G97" s="320">
        <v>0</v>
      </c>
      <c r="H97" s="181">
        <v>457.05</v>
      </c>
      <c r="I97" s="181">
        <v>121.49</v>
      </c>
      <c r="J97" s="181">
        <v>31.59</v>
      </c>
      <c r="K97" s="181">
        <v>89.9</v>
      </c>
      <c r="L97" s="322">
        <v>55.645000000000003</v>
      </c>
      <c r="M97" s="322">
        <v>55.645710000000001</v>
      </c>
      <c r="N97" s="322">
        <v>43.96</v>
      </c>
      <c r="O97" s="322">
        <v>43.96</v>
      </c>
      <c r="P97" s="322"/>
      <c r="Q97" s="322"/>
      <c r="R97" s="322">
        <v>3.0379999999999998</v>
      </c>
      <c r="S97" s="322">
        <v>3.04</v>
      </c>
      <c r="T97" s="322">
        <v>8.6479999999999997</v>
      </c>
      <c r="U97" s="322">
        <v>8.65</v>
      </c>
      <c r="V97" s="322"/>
      <c r="W97" s="322"/>
      <c r="X97" s="181">
        <f>O97-N97</f>
        <v>0</v>
      </c>
      <c r="Y97" s="191">
        <f>O97/N97</f>
        <v>1</v>
      </c>
      <c r="Z97" s="322">
        <v>55.65</v>
      </c>
      <c r="AA97" s="322">
        <v>49.05</v>
      </c>
      <c r="AB97" s="322">
        <v>43.96</v>
      </c>
      <c r="AC97" s="322"/>
      <c r="AD97" s="322">
        <v>3.04</v>
      </c>
      <c r="AE97" s="322"/>
      <c r="AF97" s="322">
        <v>8.65</v>
      </c>
      <c r="AG97" s="322"/>
      <c r="AH97" s="322"/>
      <c r="AI97" s="322"/>
      <c r="AJ97" s="181"/>
      <c r="AK97" s="192"/>
      <c r="AL97" s="322">
        <v>55.65</v>
      </c>
      <c r="AM97" s="322">
        <v>49.05</v>
      </c>
      <c r="AN97" s="322">
        <v>43.96</v>
      </c>
      <c r="AO97" s="322"/>
      <c r="AP97" s="322">
        <v>3.04</v>
      </c>
      <c r="AQ97" s="322"/>
      <c r="AR97" s="322">
        <v>8.65</v>
      </c>
      <c r="AS97" s="322"/>
      <c r="AT97" s="322"/>
      <c r="AU97" s="322"/>
      <c r="AV97" s="181"/>
      <c r="AW97" s="192"/>
      <c r="AX97" s="179">
        <v>308.88</v>
      </c>
      <c r="AY97" s="323">
        <v>129.88</v>
      </c>
      <c r="AZ97" s="324"/>
      <c r="BA97" s="325">
        <f>AY97-BC97</f>
        <v>-0.96999999999999886</v>
      </c>
      <c r="BB97" s="325"/>
      <c r="BC97" s="325">
        <v>130.85</v>
      </c>
      <c r="BD97" s="325"/>
      <c r="BE97" s="326"/>
      <c r="BF97" s="324"/>
      <c r="BG97" s="325"/>
      <c r="BH97" s="325"/>
      <c r="BI97" s="326"/>
      <c r="BJ97" s="426">
        <f>BA97-AZ97</f>
        <v>-0.96999999999999886</v>
      </c>
      <c r="BK97" s="481"/>
      <c r="BL97" s="506"/>
      <c r="BM97" s="454">
        <v>49.047379999999997</v>
      </c>
      <c r="BN97" s="175"/>
      <c r="BO97" s="507"/>
      <c r="BP97" s="456"/>
      <c r="BQ97" s="454"/>
      <c r="BR97" s="508"/>
      <c r="BS97" s="458"/>
      <c r="BT97" s="456"/>
      <c r="BU97" s="454"/>
      <c r="BV97" s="508"/>
      <c r="BW97" s="458"/>
      <c r="BX97" s="509"/>
      <c r="BY97" s="460"/>
      <c r="BZ97" s="461">
        <f>M97+BM97+BQ97+BU97</f>
        <v>104.69309</v>
      </c>
      <c r="CA97" s="510"/>
      <c r="CB97" s="462"/>
      <c r="CC97" s="309">
        <f>BZ97-E97</f>
        <v>86.563090000000003</v>
      </c>
      <c r="CD97" s="511">
        <v>730.28</v>
      </c>
      <c r="CE97" s="512"/>
      <c r="CF97" s="464"/>
      <c r="CG97" s="465"/>
      <c r="CH97" s="465"/>
      <c r="CI97" s="465"/>
      <c r="CJ97" s="465"/>
      <c r="CK97" s="465"/>
      <c r="CL97" s="465"/>
      <c r="CM97" s="466"/>
      <c r="CN97" s="466"/>
      <c r="CO97" s="466"/>
      <c r="CP97" s="466"/>
      <c r="CQ97" s="466"/>
      <c r="CR97" s="466"/>
      <c r="CS97" s="466"/>
      <c r="CT97" s="466"/>
      <c r="CU97" s="466"/>
      <c r="CV97" s="466"/>
      <c r="CW97" s="466"/>
      <c r="CX97" s="466"/>
      <c r="CY97" s="466"/>
      <c r="CZ97" s="466"/>
      <c r="DA97" s="323">
        <v>18.13</v>
      </c>
      <c r="DB97" s="323">
        <v>0</v>
      </c>
      <c r="DC97" s="320">
        <v>0</v>
      </c>
      <c r="DD97" s="320">
        <v>0</v>
      </c>
      <c r="DE97" s="320">
        <v>0</v>
      </c>
      <c r="DF97" s="320">
        <v>0</v>
      </c>
      <c r="DG97" s="320">
        <v>0</v>
      </c>
      <c r="DI97" s="826"/>
      <c r="DJ97" s="788"/>
    </row>
    <row r="98" spans="1:114" s="783" customFormat="1" ht="12" customHeight="1">
      <c r="A98" s="194" t="s">
        <v>258</v>
      </c>
      <c r="B98" s="199" t="s">
        <v>284</v>
      </c>
      <c r="C98" s="834" t="s">
        <v>54</v>
      </c>
      <c r="D98" s="179">
        <f>SUM(D99:D107)</f>
        <v>10550</v>
      </c>
      <c r="E98" s="179">
        <f>SUM(E99:E107)</f>
        <v>12053.2</v>
      </c>
      <c r="F98" s="179">
        <f>SUM(F99:F107)</f>
        <v>11651.74</v>
      </c>
      <c r="G98" s="179">
        <f>SUM(G99:G107)</f>
        <v>11410.880000000001</v>
      </c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1"/>
      <c r="Y98" s="202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1"/>
      <c r="AK98" s="203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1"/>
      <c r="AW98" s="203"/>
      <c r="AX98" s="193"/>
      <c r="AY98" s="193">
        <f>SUM(AY99:AY107)</f>
        <v>7069.23</v>
      </c>
      <c r="AZ98" s="204"/>
      <c r="BA98" s="185">
        <f>SUM(BA99:BA107)</f>
        <v>2625.9700000000003</v>
      </c>
      <c r="BB98" s="185">
        <f>SUM(BB99:BB107)</f>
        <v>0</v>
      </c>
      <c r="BC98" s="185">
        <f>SUM(BC99:BC107)</f>
        <v>472.75</v>
      </c>
      <c r="BD98" s="205"/>
      <c r="BE98" s="206">
        <v>0</v>
      </c>
      <c r="BF98" s="204">
        <f>SUM(BF99:BF101)</f>
        <v>229.78</v>
      </c>
      <c r="BG98" s="205"/>
      <c r="BH98" s="205"/>
      <c r="BI98" s="206"/>
      <c r="BJ98" s="435"/>
      <c r="BK98" s="493"/>
      <c r="BL98" s="494"/>
      <c r="BM98" s="495"/>
      <c r="BN98" s="205"/>
      <c r="BO98" s="484"/>
      <c r="BP98" s="496"/>
      <c r="BQ98" s="495"/>
      <c r="BR98" s="497"/>
      <c r="BS98" s="498"/>
      <c r="BT98" s="496"/>
      <c r="BU98" s="495"/>
      <c r="BV98" s="497"/>
      <c r="BW98" s="498"/>
      <c r="BX98" s="499"/>
      <c r="BY98" s="500"/>
      <c r="BZ98" s="501"/>
      <c r="CA98" s="502"/>
      <c r="CB98" s="503"/>
      <c r="CC98" s="282"/>
      <c r="CD98" s="504"/>
      <c r="CE98" s="205"/>
      <c r="CF98" s="505"/>
      <c r="CG98" s="465"/>
      <c r="CH98" s="465"/>
      <c r="CI98" s="465"/>
      <c r="CJ98" s="465"/>
      <c r="CK98" s="465"/>
      <c r="CL98" s="465"/>
      <c r="CM98" s="466"/>
      <c r="CN98" s="466"/>
      <c r="CO98" s="466"/>
      <c r="CP98" s="466"/>
      <c r="CQ98" s="466"/>
      <c r="CR98" s="466"/>
      <c r="CS98" s="466"/>
      <c r="CT98" s="466"/>
      <c r="CU98" s="466"/>
      <c r="CV98" s="466"/>
      <c r="CW98" s="466"/>
      <c r="CX98" s="466"/>
      <c r="CY98" s="466"/>
      <c r="CZ98" s="466"/>
      <c r="DA98" s="193">
        <f>SUM(DA101,DA102)</f>
        <v>12053.2</v>
      </c>
      <c r="DB98" s="193">
        <f>SUM(DB101,DB102)</f>
        <v>11651.740000000002</v>
      </c>
      <c r="DC98" s="179">
        <f>SUM(DC99:DC107)</f>
        <v>9296.4329999999991</v>
      </c>
      <c r="DD98" s="179">
        <f>SUM(DD99:DD107)</f>
        <v>5932.5</v>
      </c>
      <c r="DE98" s="179">
        <f>SUM(DE99:DE107)</f>
        <v>8864.7999999999993</v>
      </c>
      <c r="DF98" s="179">
        <f>SUM(DF99:DF107)</f>
        <v>4082.4</v>
      </c>
      <c r="DG98" s="179">
        <v>4782.3999999999996</v>
      </c>
      <c r="DI98" s="826"/>
      <c r="DJ98" s="788"/>
    </row>
    <row r="99" spans="1:114" s="783" customFormat="1" hidden="1">
      <c r="A99" s="207"/>
      <c r="B99" s="195" t="s">
        <v>194</v>
      </c>
      <c r="C99" s="836" t="s">
        <v>54</v>
      </c>
      <c r="D99" s="31"/>
      <c r="E99" s="31"/>
      <c r="F99" s="31"/>
      <c r="G99" s="31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96"/>
      <c r="Y99" s="197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96"/>
      <c r="AK99" s="198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96"/>
      <c r="AW99" s="198"/>
      <c r="AX99" s="144"/>
      <c r="AY99" s="144"/>
      <c r="AZ99" s="149"/>
      <c r="BA99" s="62">
        <v>7</v>
      </c>
      <c r="BB99" s="150"/>
      <c r="BC99" s="62"/>
      <c r="BD99" s="150"/>
      <c r="BE99" s="151"/>
      <c r="BF99" s="149"/>
      <c r="BG99" s="150"/>
      <c r="BH99" s="150"/>
      <c r="BI99" s="151"/>
      <c r="BJ99" s="513"/>
      <c r="BK99" s="482"/>
      <c r="BL99" s="437"/>
      <c r="BM99" s="483"/>
      <c r="BN99" s="150"/>
      <c r="BO99" s="514"/>
      <c r="BP99" s="485"/>
      <c r="BQ99" s="483"/>
      <c r="BR99" s="486"/>
      <c r="BS99" s="487"/>
      <c r="BT99" s="485"/>
      <c r="BU99" s="483"/>
      <c r="BV99" s="486"/>
      <c r="BW99" s="487"/>
      <c r="BX99" s="440"/>
      <c r="BY99" s="488"/>
      <c r="BZ99" s="489"/>
      <c r="CA99" s="490"/>
      <c r="CB99" s="491"/>
      <c r="CC99" s="246"/>
      <c r="CD99" s="443"/>
      <c r="CE99" s="150"/>
      <c r="CF99" s="492"/>
      <c r="CG99" s="74"/>
      <c r="CH99" s="74"/>
      <c r="CI99" s="74"/>
      <c r="CJ99" s="74"/>
      <c r="CK99" s="74"/>
      <c r="CL99" s="74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144"/>
      <c r="DB99" s="144"/>
      <c r="DC99" s="31"/>
      <c r="DD99" s="31"/>
      <c r="DE99" s="31"/>
      <c r="DF99" s="31"/>
      <c r="DG99" s="134"/>
      <c r="DI99" s="826"/>
      <c r="DJ99" s="788"/>
    </row>
    <row r="100" spans="1:114" s="783" customFormat="1" hidden="1">
      <c r="A100" s="207"/>
      <c r="B100" s="195" t="s">
        <v>195</v>
      </c>
      <c r="C100" s="836" t="s">
        <v>54</v>
      </c>
      <c r="D100" s="31"/>
      <c r="E100" s="31"/>
      <c r="F100" s="31"/>
      <c r="G100" s="31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96"/>
      <c r="Y100" s="197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96"/>
      <c r="AK100" s="198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96"/>
      <c r="AW100" s="198"/>
      <c r="AX100" s="144"/>
      <c r="AY100" s="144"/>
      <c r="AZ100" s="149"/>
      <c r="BA100" s="62">
        <v>238.5</v>
      </c>
      <c r="BB100" s="150"/>
      <c r="BC100" s="62"/>
      <c r="BD100" s="150"/>
      <c r="BE100" s="151"/>
      <c r="BF100" s="149"/>
      <c r="BG100" s="150"/>
      <c r="BH100" s="150"/>
      <c r="BI100" s="151"/>
      <c r="BJ100" s="513"/>
      <c r="BK100" s="482"/>
      <c r="BL100" s="437"/>
      <c r="BM100" s="483"/>
      <c r="BN100" s="150"/>
      <c r="BO100" s="514"/>
      <c r="BP100" s="485"/>
      <c r="BQ100" s="483"/>
      <c r="BR100" s="486"/>
      <c r="BS100" s="487"/>
      <c r="BT100" s="485"/>
      <c r="BU100" s="483"/>
      <c r="BV100" s="486"/>
      <c r="BW100" s="487"/>
      <c r="BX100" s="440"/>
      <c r="BY100" s="488"/>
      <c r="BZ100" s="489"/>
      <c r="CA100" s="490"/>
      <c r="CB100" s="491"/>
      <c r="CC100" s="246"/>
      <c r="CD100" s="443"/>
      <c r="CE100" s="150"/>
      <c r="CF100" s="492"/>
      <c r="CG100" s="74"/>
      <c r="CH100" s="74"/>
      <c r="CI100" s="74"/>
      <c r="CJ100" s="74"/>
      <c r="CK100" s="74"/>
      <c r="CL100" s="74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144"/>
      <c r="DB100" s="144"/>
      <c r="DC100" s="31"/>
      <c r="DD100" s="31"/>
      <c r="DE100" s="31"/>
      <c r="DF100" s="31"/>
      <c r="DG100" s="134"/>
      <c r="DI100" s="826"/>
      <c r="DJ100" s="788"/>
    </row>
    <row r="101" spans="1:114" s="783" customFormat="1" hidden="1">
      <c r="A101" s="207"/>
      <c r="B101" s="195" t="s">
        <v>284</v>
      </c>
      <c r="C101" s="836" t="s">
        <v>54</v>
      </c>
      <c r="D101" s="31">
        <v>9150</v>
      </c>
      <c r="E101" s="31">
        <v>10853.2</v>
      </c>
      <c r="F101" s="31">
        <v>10424.14</v>
      </c>
      <c r="G101" s="31">
        <v>10183.280000000001</v>
      </c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96"/>
      <c r="Y101" s="197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96"/>
      <c r="AK101" s="198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96"/>
      <c r="AW101" s="198"/>
      <c r="AX101" s="144"/>
      <c r="AY101" s="144">
        <v>6472.33</v>
      </c>
      <c r="AZ101" s="149"/>
      <c r="BA101" s="62">
        <v>1907.72</v>
      </c>
      <c r="BB101" s="150"/>
      <c r="BC101" s="62"/>
      <c r="BD101" s="150"/>
      <c r="BE101" s="151"/>
      <c r="BF101" s="149">
        <v>229.78</v>
      </c>
      <c r="BG101" s="150"/>
      <c r="BH101" s="150"/>
      <c r="BI101" s="151"/>
      <c r="BJ101" s="513"/>
      <c r="BK101" s="482"/>
      <c r="BL101" s="437"/>
      <c r="BM101" s="483"/>
      <c r="BN101" s="150"/>
      <c r="BO101" s="514"/>
      <c r="BP101" s="485"/>
      <c r="BQ101" s="483"/>
      <c r="BR101" s="486"/>
      <c r="BS101" s="487"/>
      <c r="BT101" s="485"/>
      <c r="BU101" s="483"/>
      <c r="BV101" s="486"/>
      <c r="BW101" s="487"/>
      <c r="BX101" s="440"/>
      <c r="BY101" s="488"/>
      <c r="BZ101" s="489"/>
      <c r="CA101" s="490"/>
      <c r="CB101" s="491"/>
      <c r="CC101" s="246"/>
      <c r="CD101" s="443"/>
      <c r="CE101" s="150"/>
      <c r="CF101" s="492"/>
      <c r="CG101" s="74"/>
      <c r="CH101" s="74"/>
      <c r="CI101" s="74"/>
      <c r="CJ101" s="74"/>
      <c r="CK101" s="74"/>
      <c r="CL101" s="74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18">
        <v>10853.2</v>
      </c>
      <c r="DB101" s="144">
        <f>10853.2+149.52-574.98-3.6</f>
        <v>10424.140000000001</v>
      </c>
      <c r="DC101" s="31">
        <v>8068.8329999999996</v>
      </c>
      <c r="DD101" s="31">
        <v>5478.5</v>
      </c>
      <c r="DE101" s="31">
        <v>8864.7999999999993</v>
      </c>
      <c r="DF101" s="31">
        <v>4082.4</v>
      </c>
      <c r="DG101" s="134">
        <v>4782.3999999999996</v>
      </c>
      <c r="DH101" s="770">
        <v>700</v>
      </c>
      <c r="DI101" s="826"/>
      <c r="DJ101" s="788"/>
    </row>
    <row r="102" spans="1:114" s="783" customFormat="1" hidden="1">
      <c r="A102" s="207"/>
      <c r="B102" s="195" t="s">
        <v>156</v>
      </c>
      <c r="C102" s="836" t="s">
        <v>54</v>
      </c>
      <c r="D102" s="31">
        <v>1000</v>
      </c>
      <c r="E102" s="31">
        <v>1200</v>
      </c>
      <c r="F102" s="31">
        <v>1227.5999999999999</v>
      </c>
      <c r="G102" s="31">
        <v>1227.5999999999999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96"/>
      <c r="Y102" s="197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96"/>
      <c r="AK102" s="198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96"/>
      <c r="AW102" s="198"/>
      <c r="AX102" s="144"/>
      <c r="AY102" s="144">
        <v>506.9</v>
      </c>
      <c r="AZ102" s="149"/>
      <c r="BA102" s="62"/>
      <c r="BB102" s="150"/>
      <c r="BC102" s="62"/>
      <c r="BD102" s="150"/>
      <c r="BE102" s="151"/>
      <c r="BF102" s="149"/>
      <c r="BG102" s="150"/>
      <c r="BH102" s="150"/>
      <c r="BI102" s="151"/>
      <c r="BJ102" s="513"/>
      <c r="BK102" s="482"/>
      <c r="BL102" s="437"/>
      <c r="BM102" s="483"/>
      <c r="BN102" s="150"/>
      <c r="BO102" s="514"/>
      <c r="BP102" s="485"/>
      <c r="BQ102" s="483"/>
      <c r="BR102" s="486"/>
      <c r="BS102" s="487"/>
      <c r="BT102" s="485"/>
      <c r="BU102" s="483"/>
      <c r="BV102" s="486"/>
      <c r="BW102" s="487"/>
      <c r="BX102" s="440"/>
      <c r="BY102" s="488"/>
      <c r="BZ102" s="489"/>
      <c r="CA102" s="490"/>
      <c r="CB102" s="491"/>
      <c r="CC102" s="246"/>
      <c r="CD102" s="443"/>
      <c r="CE102" s="150"/>
      <c r="CF102" s="492"/>
      <c r="CG102" s="74"/>
      <c r="CH102" s="74"/>
      <c r="CI102" s="74"/>
      <c r="CJ102" s="74"/>
      <c r="CK102" s="74"/>
      <c r="CL102" s="74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18">
        <v>1200</v>
      </c>
      <c r="DB102" s="144">
        <f>1200+75.6-48</f>
        <v>1227.5999999999999</v>
      </c>
      <c r="DC102" s="31">
        <v>1227.5999999999999</v>
      </c>
      <c r="DD102" s="31">
        <v>454</v>
      </c>
      <c r="DE102" s="31"/>
      <c r="DF102" s="31">
        <f t="shared" ref="DF102:DF133" si="65">DE102/2</f>
        <v>0</v>
      </c>
      <c r="DG102" s="134"/>
      <c r="DH102" s="835"/>
      <c r="DI102" s="826"/>
      <c r="DJ102" s="788"/>
    </row>
    <row r="103" spans="1:114" s="783" customFormat="1" hidden="1">
      <c r="A103" s="207"/>
      <c r="B103" s="195" t="s">
        <v>221</v>
      </c>
      <c r="C103" s="836" t="s">
        <v>54</v>
      </c>
      <c r="D103" s="31">
        <v>150</v>
      </c>
      <c r="E103" s="31"/>
      <c r="F103" s="31"/>
      <c r="G103" s="31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96"/>
      <c r="Y103" s="197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96"/>
      <c r="AK103" s="198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96"/>
      <c r="AW103" s="198"/>
      <c r="AX103" s="144"/>
      <c r="AY103" s="144"/>
      <c r="AZ103" s="149"/>
      <c r="BA103" s="62">
        <v>325</v>
      </c>
      <c r="BB103" s="150"/>
      <c r="BC103" s="62">
        <v>325</v>
      </c>
      <c r="BD103" s="150"/>
      <c r="BE103" s="151"/>
      <c r="BF103" s="149"/>
      <c r="BG103" s="150"/>
      <c r="BH103" s="150"/>
      <c r="BI103" s="151"/>
      <c r="BJ103" s="513"/>
      <c r="BK103" s="482"/>
      <c r="BL103" s="437"/>
      <c r="BM103" s="483"/>
      <c r="BN103" s="150"/>
      <c r="BO103" s="514"/>
      <c r="BP103" s="485"/>
      <c r="BQ103" s="483"/>
      <c r="BR103" s="486"/>
      <c r="BS103" s="487"/>
      <c r="BT103" s="485"/>
      <c r="BU103" s="483"/>
      <c r="BV103" s="486"/>
      <c r="BW103" s="487"/>
      <c r="BX103" s="440"/>
      <c r="BY103" s="488"/>
      <c r="BZ103" s="489"/>
      <c r="CA103" s="490"/>
      <c r="CB103" s="491"/>
      <c r="CC103" s="246"/>
      <c r="CD103" s="443"/>
      <c r="CE103" s="150"/>
      <c r="CF103" s="492"/>
      <c r="CG103" s="74"/>
      <c r="CH103" s="74"/>
      <c r="CI103" s="74"/>
      <c r="CJ103" s="74"/>
      <c r="CK103" s="74"/>
      <c r="CL103" s="74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144"/>
      <c r="DB103" s="144"/>
      <c r="DC103" s="31"/>
      <c r="DD103" s="31"/>
      <c r="DE103" s="31"/>
      <c r="DF103" s="31">
        <f t="shared" si="65"/>
        <v>0</v>
      </c>
      <c r="DG103" s="134"/>
      <c r="DI103" s="826"/>
      <c r="DJ103" s="788"/>
    </row>
    <row r="104" spans="1:114" s="783" customFormat="1" hidden="1">
      <c r="A104" s="207"/>
      <c r="B104" s="195" t="s">
        <v>222</v>
      </c>
      <c r="C104" s="836" t="s">
        <v>54</v>
      </c>
      <c r="D104" s="31">
        <v>100</v>
      </c>
      <c r="E104" s="31"/>
      <c r="F104" s="31"/>
      <c r="G104" s="31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96"/>
      <c r="Y104" s="197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96"/>
      <c r="AK104" s="198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96"/>
      <c r="AW104" s="198"/>
      <c r="AX104" s="144"/>
      <c r="AY104" s="144">
        <v>90</v>
      </c>
      <c r="AZ104" s="149"/>
      <c r="BA104" s="62">
        <v>45.25</v>
      </c>
      <c r="BB104" s="150"/>
      <c r="BC104" s="62">
        <v>45.25</v>
      </c>
      <c r="BD104" s="150"/>
      <c r="BE104" s="151"/>
      <c r="BF104" s="149"/>
      <c r="BG104" s="150"/>
      <c r="BH104" s="150"/>
      <c r="BI104" s="151"/>
      <c r="BJ104" s="513"/>
      <c r="BK104" s="482"/>
      <c r="BL104" s="437"/>
      <c r="BM104" s="483"/>
      <c r="BN104" s="150"/>
      <c r="BO104" s="514"/>
      <c r="BP104" s="485"/>
      <c r="BQ104" s="483"/>
      <c r="BR104" s="486"/>
      <c r="BS104" s="487"/>
      <c r="BT104" s="485"/>
      <c r="BU104" s="483"/>
      <c r="BV104" s="486"/>
      <c r="BW104" s="487"/>
      <c r="BX104" s="440"/>
      <c r="BY104" s="488"/>
      <c r="BZ104" s="489"/>
      <c r="CA104" s="490"/>
      <c r="CB104" s="491"/>
      <c r="CC104" s="246"/>
      <c r="CD104" s="443"/>
      <c r="CE104" s="150"/>
      <c r="CF104" s="492"/>
      <c r="CG104" s="74"/>
      <c r="CH104" s="74"/>
      <c r="CI104" s="74"/>
      <c r="CJ104" s="74"/>
      <c r="CK104" s="74"/>
      <c r="CL104" s="74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144"/>
      <c r="DB104" s="144"/>
      <c r="DC104" s="31"/>
      <c r="DD104" s="31"/>
      <c r="DE104" s="31"/>
      <c r="DF104" s="31">
        <f t="shared" si="65"/>
        <v>0</v>
      </c>
      <c r="DG104" s="134"/>
      <c r="DI104" s="826"/>
      <c r="DJ104" s="788"/>
    </row>
    <row r="105" spans="1:114" s="783" customFormat="1" hidden="1">
      <c r="A105" s="207"/>
      <c r="B105" s="195" t="s">
        <v>223</v>
      </c>
      <c r="C105" s="836" t="s">
        <v>54</v>
      </c>
      <c r="D105" s="31">
        <v>100</v>
      </c>
      <c r="E105" s="31"/>
      <c r="F105" s="31"/>
      <c r="G105" s="31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96"/>
      <c r="Y105" s="197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96"/>
      <c r="AK105" s="198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96"/>
      <c r="AW105" s="198"/>
      <c r="AX105" s="144"/>
      <c r="AY105" s="144"/>
      <c r="AZ105" s="149"/>
      <c r="BA105" s="62">
        <v>45</v>
      </c>
      <c r="BB105" s="150"/>
      <c r="BC105" s="62">
        <v>45</v>
      </c>
      <c r="BD105" s="150"/>
      <c r="BE105" s="151"/>
      <c r="BF105" s="149"/>
      <c r="BG105" s="150"/>
      <c r="BH105" s="150"/>
      <c r="BI105" s="151"/>
      <c r="BJ105" s="513"/>
      <c r="BK105" s="482"/>
      <c r="BL105" s="437"/>
      <c r="BM105" s="483"/>
      <c r="BN105" s="150"/>
      <c r="BO105" s="514"/>
      <c r="BP105" s="485"/>
      <c r="BQ105" s="483"/>
      <c r="BR105" s="486"/>
      <c r="BS105" s="487"/>
      <c r="BT105" s="485"/>
      <c r="BU105" s="483"/>
      <c r="BV105" s="486"/>
      <c r="BW105" s="487"/>
      <c r="BX105" s="440"/>
      <c r="BY105" s="488"/>
      <c r="BZ105" s="489"/>
      <c r="CA105" s="490"/>
      <c r="CB105" s="491"/>
      <c r="CC105" s="246"/>
      <c r="CD105" s="443"/>
      <c r="CE105" s="150"/>
      <c r="CF105" s="492"/>
      <c r="CG105" s="74"/>
      <c r="CH105" s="74"/>
      <c r="CI105" s="74"/>
      <c r="CJ105" s="74"/>
      <c r="CK105" s="74"/>
      <c r="CL105" s="74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144"/>
      <c r="DB105" s="144"/>
      <c r="DC105" s="31"/>
      <c r="DD105" s="31"/>
      <c r="DE105" s="31"/>
      <c r="DF105" s="31">
        <f t="shared" si="65"/>
        <v>0</v>
      </c>
      <c r="DG105" s="134"/>
      <c r="DI105" s="826"/>
      <c r="DJ105" s="788"/>
    </row>
    <row r="106" spans="1:114" s="783" customFormat="1" hidden="1">
      <c r="A106" s="207"/>
      <c r="B106" s="195" t="s">
        <v>224</v>
      </c>
      <c r="C106" s="836" t="s">
        <v>54</v>
      </c>
      <c r="D106" s="31"/>
      <c r="E106" s="31"/>
      <c r="F106" s="31"/>
      <c r="G106" s="31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96"/>
      <c r="Y106" s="197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96"/>
      <c r="AK106" s="198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96"/>
      <c r="AW106" s="198"/>
      <c r="AX106" s="144"/>
      <c r="AY106" s="144"/>
      <c r="AZ106" s="149"/>
      <c r="BA106" s="62">
        <v>40</v>
      </c>
      <c r="BB106" s="150"/>
      <c r="BC106" s="62">
        <v>40</v>
      </c>
      <c r="BD106" s="150"/>
      <c r="BE106" s="151"/>
      <c r="BF106" s="149"/>
      <c r="BG106" s="150"/>
      <c r="BH106" s="150"/>
      <c r="BI106" s="151"/>
      <c r="BJ106" s="513"/>
      <c r="BK106" s="482"/>
      <c r="BL106" s="437"/>
      <c r="BM106" s="483"/>
      <c r="BN106" s="150"/>
      <c r="BO106" s="514"/>
      <c r="BP106" s="485"/>
      <c r="BQ106" s="483"/>
      <c r="BR106" s="486"/>
      <c r="BS106" s="487"/>
      <c r="BT106" s="485"/>
      <c r="BU106" s="483"/>
      <c r="BV106" s="486"/>
      <c r="BW106" s="487"/>
      <c r="BX106" s="440"/>
      <c r="BY106" s="488"/>
      <c r="BZ106" s="489"/>
      <c r="CA106" s="490"/>
      <c r="CB106" s="491"/>
      <c r="CC106" s="246"/>
      <c r="CD106" s="443"/>
      <c r="CE106" s="150"/>
      <c r="CF106" s="492"/>
      <c r="CG106" s="74"/>
      <c r="CH106" s="74"/>
      <c r="CI106" s="74"/>
      <c r="CJ106" s="74"/>
      <c r="CK106" s="74"/>
      <c r="CL106" s="74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144"/>
      <c r="DB106" s="144"/>
      <c r="DC106" s="31"/>
      <c r="DD106" s="31"/>
      <c r="DE106" s="31"/>
      <c r="DF106" s="31">
        <f t="shared" si="65"/>
        <v>0</v>
      </c>
      <c r="DG106" s="134"/>
      <c r="DI106" s="826"/>
      <c r="DJ106" s="788"/>
    </row>
    <row r="107" spans="1:114" s="783" customFormat="1" hidden="1">
      <c r="A107" s="207"/>
      <c r="B107" s="195" t="s">
        <v>225</v>
      </c>
      <c r="C107" s="836" t="s">
        <v>54</v>
      </c>
      <c r="D107" s="31">
        <v>50</v>
      </c>
      <c r="E107" s="31"/>
      <c r="F107" s="31"/>
      <c r="G107" s="31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96"/>
      <c r="Y107" s="197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96"/>
      <c r="AK107" s="198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96"/>
      <c r="AW107" s="198"/>
      <c r="AX107" s="144"/>
      <c r="AY107" s="144"/>
      <c r="AZ107" s="149"/>
      <c r="BA107" s="62">
        <v>17.5</v>
      </c>
      <c r="BB107" s="150"/>
      <c r="BC107" s="62">
        <v>17.5</v>
      </c>
      <c r="BD107" s="150"/>
      <c r="BE107" s="151"/>
      <c r="BF107" s="149"/>
      <c r="BG107" s="150"/>
      <c r="BH107" s="150"/>
      <c r="BI107" s="151"/>
      <c r="BJ107" s="513"/>
      <c r="BK107" s="482"/>
      <c r="BL107" s="437"/>
      <c r="BM107" s="483"/>
      <c r="BN107" s="150"/>
      <c r="BO107" s="514"/>
      <c r="BP107" s="485"/>
      <c r="BQ107" s="483"/>
      <c r="BR107" s="486"/>
      <c r="BS107" s="487"/>
      <c r="BT107" s="485"/>
      <c r="BU107" s="483"/>
      <c r="BV107" s="486"/>
      <c r="BW107" s="487"/>
      <c r="BX107" s="440"/>
      <c r="BY107" s="488"/>
      <c r="BZ107" s="489"/>
      <c r="CA107" s="490"/>
      <c r="CB107" s="491"/>
      <c r="CC107" s="246"/>
      <c r="CD107" s="443"/>
      <c r="CE107" s="150"/>
      <c r="CF107" s="492"/>
      <c r="CG107" s="74"/>
      <c r="CH107" s="74"/>
      <c r="CI107" s="74"/>
      <c r="CJ107" s="74"/>
      <c r="CK107" s="74"/>
      <c r="CL107" s="74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144"/>
      <c r="DB107" s="144"/>
      <c r="DC107" s="31"/>
      <c r="DD107" s="31"/>
      <c r="DE107" s="31"/>
      <c r="DF107" s="31">
        <f t="shared" si="65"/>
        <v>0</v>
      </c>
      <c r="DG107" s="134"/>
      <c r="DI107" s="826"/>
      <c r="DJ107" s="788"/>
    </row>
    <row r="108" spans="1:114" s="783" customFormat="1" hidden="1">
      <c r="A108" s="194" t="s">
        <v>262</v>
      </c>
      <c r="B108" s="199" t="s">
        <v>174</v>
      </c>
      <c r="C108" s="834" t="s">
        <v>54</v>
      </c>
      <c r="D108" s="179">
        <f>SUM(D109:D134)</f>
        <v>267.01</v>
      </c>
      <c r="E108" s="179">
        <f>SUM(E109:E134)</f>
        <v>271.45000000000005</v>
      </c>
      <c r="F108" s="179">
        <f>SUM(F109:F134)</f>
        <v>271.45000000000005</v>
      </c>
      <c r="G108" s="179">
        <f>SUM(G109:G134)</f>
        <v>271.45000000000005</v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1"/>
      <c r="Y108" s="202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1"/>
      <c r="AK108" s="203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1"/>
      <c r="AW108" s="203"/>
      <c r="AX108" s="193"/>
      <c r="AY108" s="193">
        <f>SUM(AY109:AY134)</f>
        <v>174.67</v>
      </c>
      <c r="AZ108" s="204"/>
      <c r="BA108" s="185">
        <f t="shared" ref="BA108:BG108" si="66">SUM(BA109:BA134)</f>
        <v>135.03</v>
      </c>
      <c r="BB108" s="185">
        <f t="shared" si="66"/>
        <v>0</v>
      </c>
      <c r="BC108" s="185">
        <f t="shared" si="66"/>
        <v>34.44</v>
      </c>
      <c r="BD108" s="185">
        <f t="shared" si="66"/>
        <v>0</v>
      </c>
      <c r="BE108" s="186">
        <f t="shared" si="66"/>
        <v>0.47</v>
      </c>
      <c r="BF108" s="184">
        <f t="shared" si="66"/>
        <v>11.88</v>
      </c>
      <c r="BG108" s="185">
        <f t="shared" si="66"/>
        <v>320.49</v>
      </c>
      <c r="BH108" s="205"/>
      <c r="BI108" s="206"/>
      <c r="BJ108" s="435"/>
      <c r="BK108" s="493"/>
      <c r="BL108" s="494"/>
      <c r="BM108" s="495"/>
      <c r="BN108" s="205"/>
      <c r="BO108" s="484"/>
      <c r="BP108" s="496"/>
      <c r="BQ108" s="495"/>
      <c r="BR108" s="497"/>
      <c r="BS108" s="498"/>
      <c r="BT108" s="496"/>
      <c r="BU108" s="495"/>
      <c r="BV108" s="497"/>
      <c r="BW108" s="498"/>
      <c r="BX108" s="499"/>
      <c r="BY108" s="500"/>
      <c r="BZ108" s="501"/>
      <c r="CA108" s="502"/>
      <c r="CB108" s="503"/>
      <c r="CC108" s="282"/>
      <c r="CD108" s="504"/>
      <c r="CE108" s="205"/>
      <c r="CF108" s="505"/>
      <c r="CG108" s="465"/>
      <c r="CH108" s="465"/>
      <c r="CI108" s="465"/>
      <c r="CJ108" s="465"/>
      <c r="CK108" s="465"/>
      <c r="CL108" s="465"/>
      <c r="CM108" s="466"/>
      <c r="CN108" s="466"/>
      <c r="CO108" s="466"/>
      <c r="CP108" s="466"/>
      <c r="CQ108" s="466"/>
      <c r="CR108" s="466"/>
      <c r="CS108" s="466"/>
      <c r="CT108" s="466"/>
      <c r="CU108" s="466"/>
      <c r="CV108" s="466"/>
      <c r="CW108" s="466"/>
      <c r="CX108" s="466"/>
      <c r="CY108" s="466"/>
      <c r="CZ108" s="466"/>
      <c r="DA108" s="193">
        <f t="shared" ref="DA108:DG108" si="67">SUM(DA109:DA134)</f>
        <v>271.45000000000005</v>
      </c>
      <c r="DB108" s="193">
        <f t="shared" si="67"/>
        <v>186.54</v>
      </c>
      <c r="DC108" s="179">
        <f t="shared" si="67"/>
        <v>288.45000000000005</v>
      </c>
      <c r="DD108" s="179">
        <f t="shared" si="67"/>
        <v>122.78</v>
      </c>
      <c r="DE108" s="179">
        <f t="shared" si="67"/>
        <v>288.45000000000005</v>
      </c>
      <c r="DF108" s="179">
        <f t="shared" si="67"/>
        <v>144.22500000000002</v>
      </c>
      <c r="DG108" s="179">
        <f t="shared" si="67"/>
        <v>144.22500000000002</v>
      </c>
      <c r="DI108" s="826"/>
      <c r="DJ108" s="788"/>
    </row>
    <row r="109" spans="1:114" s="783" customFormat="1" hidden="1">
      <c r="A109" s="47"/>
      <c r="B109" s="187" t="s">
        <v>156</v>
      </c>
      <c r="C109" s="836" t="s">
        <v>54</v>
      </c>
      <c r="D109" s="31"/>
      <c r="E109" s="31"/>
      <c r="F109" s="31"/>
      <c r="G109" s="31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51"/>
      <c r="Y109" s="55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51"/>
      <c r="AK109" s="56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51"/>
      <c r="AW109" s="56"/>
      <c r="AX109" s="31"/>
      <c r="AY109" s="144"/>
      <c r="AZ109" s="109"/>
      <c r="BA109" s="62"/>
      <c r="BB109" s="62"/>
      <c r="BC109" s="62"/>
      <c r="BD109" s="62"/>
      <c r="BE109" s="110"/>
      <c r="BF109" s="109"/>
      <c r="BG109" s="62">
        <v>15.75</v>
      </c>
      <c r="BH109" s="62"/>
      <c r="BI109" s="110"/>
      <c r="BJ109" s="59"/>
      <c r="BK109" s="46"/>
      <c r="BL109" s="428"/>
      <c r="BM109" s="61"/>
      <c r="BN109" s="399"/>
      <c r="BO109" s="63"/>
      <c r="BP109" s="64"/>
      <c r="BQ109" s="61"/>
      <c r="BR109" s="479"/>
      <c r="BS109" s="66"/>
      <c r="BT109" s="64"/>
      <c r="BU109" s="61"/>
      <c r="BV109" s="479"/>
      <c r="BW109" s="66"/>
      <c r="BX109" s="431"/>
      <c r="BY109" s="68"/>
      <c r="BZ109" s="69"/>
      <c r="CA109" s="61"/>
      <c r="CB109" s="71"/>
      <c r="CC109" s="72"/>
      <c r="CD109" s="434"/>
      <c r="CE109" s="62"/>
      <c r="CF109" s="73"/>
      <c r="CG109" s="74"/>
      <c r="CH109" s="74"/>
      <c r="CI109" s="74"/>
      <c r="CJ109" s="74"/>
      <c r="CK109" s="74"/>
      <c r="CL109" s="74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144"/>
      <c r="DB109" s="144"/>
      <c r="DC109" s="31"/>
      <c r="DD109" s="31"/>
      <c r="DE109" s="31"/>
      <c r="DF109" s="31">
        <f t="shared" si="65"/>
        <v>0</v>
      </c>
      <c r="DG109" s="134"/>
      <c r="DI109" s="826"/>
      <c r="DJ109" s="788"/>
    </row>
    <row r="110" spans="1:114" s="783" customFormat="1" hidden="1">
      <c r="A110" s="47"/>
      <c r="B110" s="187" t="s">
        <v>226</v>
      </c>
      <c r="C110" s="836" t="s">
        <v>54</v>
      </c>
      <c r="D110" s="31"/>
      <c r="E110" s="31"/>
      <c r="F110" s="31"/>
      <c r="G110" s="31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51"/>
      <c r="Y110" s="55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51"/>
      <c r="AK110" s="56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51"/>
      <c r="AW110" s="56"/>
      <c r="AX110" s="31"/>
      <c r="AY110" s="144"/>
      <c r="AZ110" s="109"/>
      <c r="BA110" s="62"/>
      <c r="BB110" s="62"/>
      <c r="BC110" s="62"/>
      <c r="BD110" s="62"/>
      <c r="BE110" s="110"/>
      <c r="BF110" s="109"/>
      <c r="BG110" s="62">
        <v>27.94</v>
      </c>
      <c r="BH110" s="62"/>
      <c r="BI110" s="110"/>
      <c r="BJ110" s="59"/>
      <c r="BK110" s="46"/>
      <c r="BL110" s="428"/>
      <c r="BM110" s="61"/>
      <c r="BN110" s="399"/>
      <c r="BO110" s="63"/>
      <c r="BP110" s="64"/>
      <c r="BQ110" s="61"/>
      <c r="BR110" s="479"/>
      <c r="BS110" s="66"/>
      <c r="BT110" s="64"/>
      <c r="BU110" s="61"/>
      <c r="BV110" s="479"/>
      <c r="BW110" s="66"/>
      <c r="BX110" s="431"/>
      <c r="BY110" s="68"/>
      <c r="BZ110" s="69"/>
      <c r="CA110" s="61"/>
      <c r="CB110" s="71"/>
      <c r="CC110" s="72"/>
      <c r="CD110" s="434"/>
      <c r="CE110" s="62"/>
      <c r="CF110" s="73"/>
      <c r="CG110" s="74"/>
      <c r="CH110" s="74"/>
      <c r="CI110" s="74"/>
      <c r="CJ110" s="74"/>
      <c r="CK110" s="74"/>
      <c r="CL110" s="74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144"/>
      <c r="DB110" s="144"/>
      <c r="DC110" s="31"/>
      <c r="DD110" s="31"/>
      <c r="DE110" s="31"/>
      <c r="DF110" s="31">
        <f t="shared" si="65"/>
        <v>0</v>
      </c>
      <c r="DG110" s="134"/>
      <c r="DI110" s="826"/>
      <c r="DJ110" s="788"/>
    </row>
    <row r="111" spans="1:114" s="783" customFormat="1" hidden="1">
      <c r="A111" s="47"/>
      <c r="B111" s="187" t="s">
        <v>227</v>
      </c>
      <c r="C111" s="836" t="s">
        <v>54</v>
      </c>
      <c r="D111" s="31"/>
      <c r="E111" s="31"/>
      <c r="F111" s="31"/>
      <c r="G111" s="31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51"/>
      <c r="Y111" s="55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51"/>
      <c r="AK111" s="56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51"/>
      <c r="AW111" s="56"/>
      <c r="AX111" s="31"/>
      <c r="AY111" s="144">
        <v>10.08</v>
      </c>
      <c r="AZ111" s="109"/>
      <c r="BA111" s="62"/>
      <c r="BB111" s="62"/>
      <c r="BC111" s="62"/>
      <c r="BD111" s="62"/>
      <c r="BE111" s="110"/>
      <c r="BF111" s="109"/>
      <c r="BG111" s="62">
        <v>3.36</v>
      </c>
      <c r="BH111" s="62"/>
      <c r="BI111" s="110"/>
      <c r="BJ111" s="59"/>
      <c r="BK111" s="46"/>
      <c r="BL111" s="428"/>
      <c r="BM111" s="61"/>
      <c r="BN111" s="399"/>
      <c r="BO111" s="63"/>
      <c r="BP111" s="64"/>
      <c r="BQ111" s="61"/>
      <c r="BR111" s="479"/>
      <c r="BS111" s="66"/>
      <c r="BT111" s="64"/>
      <c r="BU111" s="61"/>
      <c r="BV111" s="479"/>
      <c r="BW111" s="66"/>
      <c r="BX111" s="431"/>
      <c r="BY111" s="68"/>
      <c r="BZ111" s="69"/>
      <c r="CA111" s="61"/>
      <c r="CB111" s="71"/>
      <c r="CC111" s="72"/>
      <c r="CD111" s="434"/>
      <c r="CE111" s="62"/>
      <c r="CF111" s="73"/>
      <c r="CG111" s="74"/>
      <c r="CH111" s="74"/>
      <c r="CI111" s="74"/>
      <c r="CJ111" s="74"/>
      <c r="CK111" s="74"/>
      <c r="CL111" s="74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144"/>
      <c r="DB111" s="144">
        <v>10.08</v>
      </c>
      <c r="DC111" s="31">
        <v>11</v>
      </c>
      <c r="DD111" s="31">
        <v>11</v>
      </c>
      <c r="DE111" s="31">
        <v>11</v>
      </c>
      <c r="DF111" s="31">
        <f t="shared" si="65"/>
        <v>5.5</v>
      </c>
      <c r="DG111" s="134">
        <f>DF111</f>
        <v>5.5</v>
      </c>
      <c r="DI111" s="826"/>
      <c r="DJ111" s="788"/>
    </row>
    <row r="112" spans="1:114" s="783" customFormat="1" ht="24" hidden="1">
      <c r="A112" s="47"/>
      <c r="B112" s="187" t="s">
        <v>228</v>
      </c>
      <c r="C112" s="836" t="s">
        <v>54</v>
      </c>
      <c r="D112" s="31"/>
      <c r="E112" s="31"/>
      <c r="F112" s="31"/>
      <c r="G112" s="31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51"/>
      <c r="Y112" s="55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51"/>
      <c r="AK112" s="56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51"/>
      <c r="AW112" s="56"/>
      <c r="AX112" s="31"/>
      <c r="AY112" s="144"/>
      <c r="AZ112" s="109"/>
      <c r="BA112" s="62"/>
      <c r="BB112" s="62"/>
      <c r="BC112" s="62"/>
      <c r="BD112" s="62"/>
      <c r="BE112" s="110"/>
      <c r="BF112" s="109"/>
      <c r="BG112" s="62">
        <v>15.63</v>
      </c>
      <c r="BH112" s="62"/>
      <c r="BI112" s="110"/>
      <c r="BJ112" s="59"/>
      <c r="BK112" s="46"/>
      <c r="BL112" s="428"/>
      <c r="BM112" s="61"/>
      <c r="BN112" s="399"/>
      <c r="BO112" s="63"/>
      <c r="BP112" s="64"/>
      <c r="BQ112" s="61"/>
      <c r="BR112" s="479"/>
      <c r="BS112" s="66"/>
      <c r="BT112" s="64"/>
      <c r="BU112" s="61"/>
      <c r="BV112" s="479"/>
      <c r="BW112" s="66"/>
      <c r="BX112" s="431"/>
      <c r="BY112" s="68"/>
      <c r="BZ112" s="69"/>
      <c r="CA112" s="61"/>
      <c r="CB112" s="71"/>
      <c r="CC112" s="72"/>
      <c r="CD112" s="434"/>
      <c r="CE112" s="62"/>
      <c r="CF112" s="73"/>
      <c r="CG112" s="74"/>
      <c r="CH112" s="74"/>
      <c r="CI112" s="74"/>
      <c r="CJ112" s="74"/>
      <c r="CK112" s="74"/>
      <c r="CL112" s="74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144"/>
      <c r="DB112" s="144"/>
      <c r="DC112" s="31"/>
      <c r="DD112" s="31"/>
      <c r="DE112" s="31"/>
      <c r="DF112" s="31">
        <f t="shared" si="65"/>
        <v>0</v>
      </c>
      <c r="DG112" s="134">
        <f t="shared" ref="DG112:DG133" si="68">DF112</f>
        <v>0</v>
      </c>
      <c r="DI112" s="826"/>
      <c r="DJ112" s="788"/>
    </row>
    <row r="113" spans="1:114" s="783" customFormat="1" hidden="1">
      <c r="A113" s="47"/>
      <c r="B113" s="187" t="s">
        <v>307</v>
      </c>
      <c r="C113" s="836" t="s">
        <v>54</v>
      </c>
      <c r="D113" s="31"/>
      <c r="E113" s="31"/>
      <c r="F113" s="31"/>
      <c r="G113" s="31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51"/>
      <c r="Y113" s="55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51"/>
      <c r="AK113" s="56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51"/>
      <c r="AW113" s="56"/>
      <c r="AX113" s="31"/>
      <c r="AY113" s="144">
        <v>24</v>
      </c>
      <c r="AZ113" s="109"/>
      <c r="BA113" s="62"/>
      <c r="BB113" s="62"/>
      <c r="BC113" s="62"/>
      <c r="BD113" s="62"/>
      <c r="BE113" s="110"/>
      <c r="BF113" s="109"/>
      <c r="BG113" s="62"/>
      <c r="BH113" s="62"/>
      <c r="BI113" s="110"/>
      <c r="BJ113" s="59"/>
      <c r="BK113" s="46"/>
      <c r="BL113" s="428"/>
      <c r="BM113" s="61"/>
      <c r="BN113" s="399"/>
      <c r="BO113" s="63"/>
      <c r="BP113" s="64"/>
      <c r="BQ113" s="61"/>
      <c r="BR113" s="479"/>
      <c r="BS113" s="66"/>
      <c r="BT113" s="64"/>
      <c r="BU113" s="61"/>
      <c r="BV113" s="479"/>
      <c r="BW113" s="66"/>
      <c r="BX113" s="431"/>
      <c r="BY113" s="68"/>
      <c r="BZ113" s="69"/>
      <c r="CA113" s="61"/>
      <c r="CB113" s="71"/>
      <c r="CC113" s="72"/>
      <c r="CD113" s="434"/>
      <c r="CE113" s="62"/>
      <c r="CF113" s="73"/>
      <c r="CG113" s="74"/>
      <c r="CH113" s="74"/>
      <c r="CI113" s="74"/>
      <c r="CJ113" s="74"/>
      <c r="CK113" s="74"/>
      <c r="CL113" s="74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144"/>
      <c r="DB113" s="144"/>
      <c r="DC113" s="31"/>
      <c r="DD113" s="31"/>
      <c r="DE113" s="31"/>
      <c r="DF113" s="31">
        <f t="shared" si="65"/>
        <v>0</v>
      </c>
      <c r="DG113" s="134">
        <f t="shared" si="68"/>
        <v>0</v>
      </c>
      <c r="DI113" s="826"/>
      <c r="DJ113" s="788"/>
    </row>
    <row r="114" spans="1:114" s="783" customFormat="1" hidden="1">
      <c r="A114" s="47"/>
      <c r="B114" s="187" t="s">
        <v>190</v>
      </c>
      <c r="C114" s="836" t="s">
        <v>54</v>
      </c>
      <c r="D114" s="31"/>
      <c r="E114" s="31"/>
      <c r="F114" s="31"/>
      <c r="G114" s="31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51"/>
      <c r="Y114" s="55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51"/>
      <c r="AK114" s="56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51"/>
      <c r="AW114" s="56"/>
      <c r="AX114" s="31"/>
      <c r="AY114" s="144"/>
      <c r="AZ114" s="109"/>
      <c r="BA114" s="62"/>
      <c r="BB114" s="62"/>
      <c r="BC114" s="62"/>
      <c r="BD114" s="62"/>
      <c r="BE114" s="110"/>
      <c r="BF114" s="109"/>
      <c r="BG114" s="62">
        <v>1.3</v>
      </c>
      <c r="BH114" s="62"/>
      <c r="BI114" s="110"/>
      <c r="BJ114" s="59"/>
      <c r="BK114" s="46"/>
      <c r="BL114" s="428"/>
      <c r="BM114" s="61"/>
      <c r="BN114" s="399"/>
      <c r="BO114" s="63"/>
      <c r="BP114" s="64"/>
      <c r="BQ114" s="61"/>
      <c r="BR114" s="479"/>
      <c r="BS114" s="66"/>
      <c r="BT114" s="64"/>
      <c r="BU114" s="61"/>
      <c r="BV114" s="479"/>
      <c r="BW114" s="66"/>
      <c r="BX114" s="431"/>
      <c r="BY114" s="68"/>
      <c r="BZ114" s="69"/>
      <c r="CA114" s="61"/>
      <c r="CB114" s="71"/>
      <c r="CC114" s="72"/>
      <c r="CD114" s="434"/>
      <c r="CE114" s="62"/>
      <c r="CF114" s="73"/>
      <c r="CG114" s="74"/>
      <c r="CH114" s="74"/>
      <c r="CI114" s="74"/>
      <c r="CJ114" s="74"/>
      <c r="CK114" s="74"/>
      <c r="CL114" s="74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144"/>
      <c r="DB114" s="144"/>
      <c r="DC114" s="31"/>
      <c r="DD114" s="31"/>
      <c r="DE114" s="31"/>
      <c r="DF114" s="31">
        <f t="shared" si="65"/>
        <v>0</v>
      </c>
      <c r="DG114" s="134">
        <f t="shared" si="68"/>
        <v>0</v>
      </c>
      <c r="DI114" s="826"/>
      <c r="DJ114" s="788"/>
    </row>
    <row r="115" spans="1:114" s="783" customFormat="1" hidden="1">
      <c r="A115" s="47"/>
      <c r="B115" s="187" t="s">
        <v>157</v>
      </c>
      <c r="C115" s="836" t="s">
        <v>54</v>
      </c>
      <c r="D115" s="31"/>
      <c r="E115" s="31"/>
      <c r="F115" s="31"/>
      <c r="G115" s="31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51"/>
      <c r="Y115" s="55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51"/>
      <c r="AK115" s="56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51"/>
      <c r="AW115" s="56"/>
      <c r="AX115" s="31"/>
      <c r="AY115" s="144">
        <v>6.55</v>
      </c>
      <c r="AZ115" s="109"/>
      <c r="BA115" s="62"/>
      <c r="BB115" s="62"/>
      <c r="BC115" s="62"/>
      <c r="BD115" s="62"/>
      <c r="BE115" s="110"/>
      <c r="BF115" s="109"/>
      <c r="BG115" s="62">
        <v>7.4</v>
      </c>
      <c r="BH115" s="62"/>
      <c r="BI115" s="110"/>
      <c r="BJ115" s="59"/>
      <c r="BK115" s="46"/>
      <c r="BL115" s="428"/>
      <c r="BM115" s="61"/>
      <c r="BN115" s="399"/>
      <c r="BO115" s="63"/>
      <c r="BP115" s="64"/>
      <c r="BQ115" s="61"/>
      <c r="BR115" s="479"/>
      <c r="BS115" s="66"/>
      <c r="BT115" s="64"/>
      <c r="BU115" s="61"/>
      <c r="BV115" s="479"/>
      <c r="BW115" s="66"/>
      <c r="BX115" s="431"/>
      <c r="BY115" s="68"/>
      <c r="BZ115" s="69"/>
      <c r="CA115" s="61"/>
      <c r="CB115" s="71"/>
      <c r="CC115" s="72"/>
      <c r="CD115" s="434"/>
      <c r="CE115" s="62"/>
      <c r="CF115" s="73"/>
      <c r="CG115" s="74"/>
      <c r="CH115" s="74"/>
      <c r="CI115" s="74"/>
      <c r="CJ115" s="74"/>
      <c r="CK115" s="74"/>
      <c r="CL115" s="74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144"/>
      <c r="DB115" s="144"/>
      <c r="DC115" s="31"/>
      <c r="DD115" s="31"/>
      <c r="DE115" s="31"/>
      <c r="DF115" s="31">
        <f t="shared" si="65"/>
        <v>0</v>
      </c>
      <c r="DG115" s="134">
        <f t="shared" si="68"/>
        <v>0</v>
      </c>
      <c r="DI115" s="826"/>
      <c r="DJ115" s="788"/>
    </row>
    <row r="116" spans="1:114" s="783" customFormat="1" hidden="1">
      <c r="A116" s="47"/>
      <c r="B116" s="187" t="s">
        <v>191</v>
      </c>
      <c r="C116" s="836" t="s">
        <v>54</v>
      </c>
      <c r="D116" s="31"/>
      <c r="E116" s="31"/>
      <c r="F116" s="31"/>
      <c r="G116" s="31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51"/>
      <c r="Y116" s="55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51"/>
      <c r="AK116" s="56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51"/>
      <c r="AW116" s="56"/>
      <c r="AX116" s="31"/>
      <c r="AY116" s="144"/>
      <c r="AZ116" s="109"/>
      <c r="BA116" s="62"/>
      <c r="BB116" s="62"/>
      <c r="BC116" s="62"/>
      <c r="BD116" s="62"/>
      <c r="BE116" s="110"/>
      <c r="BF116" s="109"/>
      <c r="BG116" s="62">
        <v>6.6</v>
      </c>
      <c r="BH116" s="62"/>
      <c r="BI116" s="110"/>
      <c r="BJ116" s="59"/>
      <c r="BK116" s="46"/>
      <c r="BL116" s="428"/>
      <c r="BM116" s="61"/>
      <c r="BN116" s="399"/>
      <c r="BO116" s="63"/>
      <c r="BP116" s="64"/>
      <c r="BQ116" s="61"/>
      <c r="BR116" s="479"/>
      <c r="BS116" s="66"/>
      <c r="BT116" s="64"/>
      <c r="BU116" s="61"/>
      <c r="BV116" s="479"/>
      <c r="BW116" s="66"/>
      <c r="BX116" s="431"/>
      <c r="BY116" s="68"/>
      <c r="BZ116" s="69"/>
      <c r="CA116" s="61"/>
      <c r="CB116" s="71"/>
      <c r="CC116" s="72"/>
      <c r="CD116" s="434"/>
      <c r="CE116" s="62"/>
      <c r="CF116" s="73"/>
      <c r="CG116" s="74"/>
      <c r="CH116" s="74"/>
      <c r="CI116" s="74"/>
      <c r="CJ116" s="74"/>
      <c r="CK116" s="74"/>
      <c r="CL116" s="74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144"/>
      <c r="DB116" s="144"/>
      <c r="DC116" s="31"/>
      <c r="DD116" s="31"/>
      <c r="DE116" s="31"/>
      <c r="DF116" s="31">
        <f t="shared" si="65"/>
        <v>0</v>
      </c>
      <c r="DG116" s="134">
        <f t="shared" si="68"/>
        <v>0</v>
      </c>
      <c r="DI116" s="826"/>
      <c r="DJ116" s="788"/>
    </row>
    <row r="117" spans="1:114" s="783" customFormat="1" ht="24" hidden="1">
      <c r="A117" s="47"/>
      <c r="B117" s="187" t="s">
        <v>205</v>
      </c>
      <c r="C117" s="836" t="s">
        <v>54</v>
      </c>
      <c r="D117" s="31"/>
      <c r="E117" s="31">
        <v>91.8</v>
      </c>
      <c r="F117" s="31">
        <v>91.8</v>
      </c>
      <c r="G117" s="31">
        <v>91.8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51"/>
      <c r="Y117" s="55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51"/>
      <c r="AK117" s="56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51"/>
      <c r="AW117" s="56"/>
      <c r="AX117" s="31"/>
      <c r="AY117" s="144"/>
      <c r="AZ117" s="109"/>
      <c r="BA117" s="62"/>
      <c r="BB117" s="62"/>
      <c r="BC117" s="62"/>
      <c r="BD117" s="62"/>
      <c r="BE117" s="110"/>
      <c r="BF117" s="109"/>
      <c r="BG117" s="62">
        <v>86.61</v>
      </c>
      <c r="BH117" s="62"/>
      <c r="BI117" s="110"/>
      <c r="BJ117" s="59"/>
      <c r="BK117" s="46"/>
      <c r="BL117" s="428"/>
      <c r="BM117" s="61"/>
      <c r="BN117" s="399"/>
      <c r="BO117" s="63"/>
      <c r="BP117" s="64"/>
      <c r="BQ117" s="61"/>
      <c r="BR117" s="479"/>
      <c r="BS117" s="66"/>
      <c r="BT117" s="64"/>
      <c r="BU117" s="61"/>
      <c r="BV117" s="479"/>
      <c r="BW117" s="66"/>
      <c r="BX117" s="431"/>
      <c r="BY117" s="68"/>
      <c r="BZ117" s="69"/>
      <c r="CA117" s="61"/>
      <c r="CB117" s="71"/>
      <c r="CC117" s="72"/>
      <c r="CD117" s="434"/>
      <c r="CE117" s="62"/>
      <c r="CF117" s="73"/>
      <c r="CG117" s="74"/>
      <c r="CH117" s="74"/>
      <c r="CI117" s="74"/>
      <c r="CJ117" s="74"/>
      <c r="CK117" s="74"/>
      <c r="CL117" s="74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144">
        <v>91.8</v>
      </c>
      <c r="DB117" s="144">
        <v>91.8</v>
      </c>
      <c r="DC117" s="31">
        <v>91.8</v>
      </c>
      <c r="DD117" s="31"/>
      <c r="DE117" s="31">
        <v>91.8</v>
      </c>
      <c r="DF117" s="31">
        <f t="shared" si="65"/>
        <v>45.9</v>
      </c>
      <c r="DG117" s="134">
        <f t="shared" si="68"/>
        <v>45.9</v>
      </c>
      <c r="DI117" s="826"/>
      <c r="DJ117" s="788"/>
    </row>
    <row r="118" spans="1:114" s="783" customFormat="1" ht="24" hidden="1">
      <c r="A118" s="47"/>
      <c r="B118" s="187" t="s">
        <v>308</v>
      </c>
      <c r="C118" s="836" t="s">
        <v>54</v>
      </c>
      <c r="D118" s="31"/>
      <c r="E118" s="31"/>
      <c r="F118" s="31"/>
      <c r="G118" s="31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51"/>
      <c r="Y118" s="55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51"/>
      <c r="AK118" s="56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51"/>
      <c r="AW118" s="56"/>
      <c r="AX118" s="31"/>
      <c r="AY118" s="144">
        <v>5.52</v>
      </c>
      <c r="AZ118" s="109"/>
      <c r="BA118" s="62"/>
      <c r="BB118" s="62"/>
      <c r="BC118" s="62"/>
      <c r="BD118" s="62"/>
      <c r="BE118" s="110"/>
      <c r="BF118" s="109"/>
      <c r="BG118" s="62"/>
      <c r="BH118" s="62"/>
      <c r="BI118" s="110"/>
      <c r="BJ118" s="59"/>
      <c r="BK118" s="46"/>
      <c r="BL118" s="428"/>
      <c r="BM118" s="61"/>
      <c r="BN118" s="399"/>
      <c r="BO118" s="63"/>
      <c r="BP118" s="64"/>
      <c r="BQ118" s="61"/>
      <c r="BR118" s="479"/>
      <c r="BS118" s="66"/>
      <c r="BT118" s="64"/>
      <c r="BU118" s="61"/>
      <c r="BV118" s="479"/>
      <c r="BW118" s="66"/>
      <c r="BX118" s="431"/>
      <c r="BY118" s="68"/>
      <c r="BZ118" s="69"/>
      <c r="CA118" s="61"/>
      <c r="CB118" s="71"/>
      <c r="CC118" s="72"/>
      <c r="CD118" s="434"/>
      <c r="CE118" s="62"/>
      <c r="CF118" s="73"/>
      <c r="CG118" s="74"/>
      <c r="CH118" s="74"/>
      <c r="CI118" s="74"/>
      <c r="CJ118" s="74"/>
      <c r="CK118" s="74"/>
      <c r="CL118" s="74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144"/>
      <c r="DB118" s="144"/>
      <c r="DC118" s="31"/>
      <c r="DD118" s="31"/>
      <c r="DE118" s="31"/>
      <c r="DF118" s="31">
        <f t="shared" si="65"/>
        <v>0</v>
      </c>
      <c r="DG118" s="134">
        <f t="shared" si="68"/>
        <v>0</v>
      </c>
      <c r="DI118" s="826"/>
      <c r="DJ118" s="788"/>
    </row>
    <row r="119" spans="1:114" s="783" customFormat="1" hidden="1">
      <c r="A119" s="47"/>
      <c r="B119" s="187" t="s">
        <v>206</v>
      </c>
      <c r="C119" s="836" t="s">
        <v>54</v>
      </c>
      <c r="D119" s="31"/>
      <c r="E119" s="31"/>
      <c r="F119" s="31"/>
      <c r="G119" s="31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51"/>
      <c r="Y119" s="55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51"/>
      <c r="AK119" s="56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51"/>
      <c r="AW119" s="56"/>
      <c r="AX119" s="31"/>
      <c r="AY119" s="144"/>
      <c r="AZ119" s="109"/>
      <c r="BA119" s="62"/>
      <c r="BB119" s="62"/>
      <c r="BC119" s="62"/>
      <c r="BD119" s="62"/>
      <c r="BE119" s="110"/>
      <c r="BF119" s="109"/>
      <c r="BG119" s="62">
        <v>1.5</v>
      </c>
      <c r="BH119" s="62"/>
      <c r="BI119" s="110"/>
      <c r="BJ119" s="59"/>
      <c r="BK119" s="46"/>
      <c r="BL119" s="428"/>
      <c r="BM119" s="61"/>
      <c r="BN119" s="399"/>
      <c r="BO119" s="63"/>
      <c r="BP119" s="64"/>
      <c r="BQ119" s="61"/>
      <c r="BR119" s="479"/>
      <c r="BS119" s="66"/>
      <c r="BT119" s="64"/>
      <c r="BU119" s="61"/>
      <c r="BV119" s="479"/>
      <c r="BW119" s="66"/>
      <c r="BX119" s="431"/>
      <c r="BY119" s="68"/>
      <c r="BZ119" s="69"/>
      <c r="CA119" s="61"/>
      <c r="CB119" s="71"/>
      <c r="CC119" s="72"/>
      <c r="CD119" s="434"/>
      <c r="CE119" s="62"/>
      <c r="CF119" s="73"/>
      <c r="CG119" s="74"/>
      <c r="CH119" s="74"/>
      <c r="CI119" s="74"/>
      <c r="CJ119" s="74"/>
      <c r="CK119" s="74"/>
      <c r="CL119" s="74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144"/>
      <c r="DB119" s="144"/>
      <c r="DC119" s="31"/>
      <c r="DD119" s="31"/>
      <c r="DE119" s="31"/>
      <c r="DF119" s="31">
        <f t="shared" si="65"/>
        <v>0</v>
      </c>
      <c r="DG119" s="134">
        <f t="shared" si="68"/>
        <v>0</v>
      </c>
      <c r="DI119" s="826"/>
      <c r="DJ119" s="788"/>
    </row>
    <row r="120" spans="1:114" s="783" customFormat="1" hidden="1">
      <c r="A120" s="177"/>
      <c r="B120" s="187" t="s">
        <v>117</v>
      </c>
      <c r="C120" s="836" t="s">
        <v>54</v>
      </c>
      <c r="D120" s="31">
        <v>3.65</v>
      </c>
      <c r="E120" s="31">
        <v>3.65</v>
      </c>
      <c r="F120" s="31">
        <v>3.65</v>
      </c>
      <c r="G120" s="31">
        <v>3.65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54"/>
      <c r="Y120" s="55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54"/>
      <c r="AK120" s="56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54"/>
      <c r="AW120" s="56"/>
      <c r="AX120" s="179"/>
      <c r="AY120" s="144"/>
      <c r="AZ120" s="184"/>
      <c r="BA120" s="62">
        <v>3.49</v>
      </c>
      <c r="BB120" s="62"/>
      <c r="BC120" s="62"/>
      <c r="BD120" s="62"/>
      <c r="BE120" s="110"/>
      <c r="BF120" s="109"/>
      <c r="BG120" s="62"/>
      <c r="BH120" s="62"/>
      <c r="BI120" s="110"/>
      <c r="BJ120" s="426"/>
      <c r="BK120" s="46"/>
      <c r="BL120" s="428"/>
      <c r="BM120" s="61"/>
      <c r="BN120" s="62"/>
      <c r="BO120" s="470"/>
      <c r="BP120" s="64"/>
      <c r="BQ120" s="61"/>
      <c r="BR120" s="65"/>
      <c r="BS120" s="66"/>
      <c r="BT120" s="64"/>
      <c r="BU120" s="61"/>
      <c r="BV120" s="65"/>
      <c r="BW120" s="66"/>
      <c r="BX120" s="431"/>
      <c r="BY120" s="68"/>
      <c r="BZ120" s="69"/>
      <c r="CA120" s="70"/>
      <c r="CB120" s="71"/>
      <c r="CC120" s="72"/>
      <c r="CD120" s="434"/>
      <c r="CE120" s="62"/>
      <c r="CF120" s="73"/>
      <c r="CG120" s="74"/>
      <c r="CH120" s="74"/>
      <c r="CI120" s="74"/>
      <c r="CJ120" s="74"/>
      <c r="CK120" s="74"/>
      <c r="CL120" s="74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144">
        <v>3.65</v>
      </c>
      <c r="DB120" s="144">
        <v>3.65</v>
      </c>
      <c r="DC120" s="31">
        <v>3.65</v>
      </c>
      <c r="DD120" s="31"/>
      <c r="DE120" s="31">
        <v>3.65</v>
      </c>
      <c r="DF120" s="31">
        <f t="shared" si="65"/>
        <v>1.825</v>
      </c>
      <c r="DG120" s="134">
        <f t="shared" si="68"/>
        <v>1.825</v>
      </c>
      <c r="DI120" s="826"/>
      <c r="DJ120" s="788"/>
    </row>
    <row r="121" spans="1:114" s="783" customFormat="1" hidden="1">
      <c r="A121" s="177"/>
      <c r="B121" s="187" t="s">
        <v>118</v>
      </c>
      <c r="C121" s="836" t="s">
        <v>54</v>
      </c>
      <c r="D121" s="31">
        <v>0.16</v>
      </c>
      <c r="E121" s="31">
        <v>0.16</v>
      </c>
      <c r="F121" s="31">
        <v>0.16</v>
      </c>
      <c r="G121" s="31">
        <v>0.16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54"/>
      <c r="Y121" s="55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54"/>
      <c r="AK121" s="56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54"/>
      <c r="AW121" s="56"/>
      <c r="AX121" s="179"/>
      <c r="AY121" s="144"/>
      <c r="AZ121" s="184"/>
      <c r="BA121" s="62">
        <v>0.15</v>
      </c>
      <c r="BB121" s="62"/>
      <c r="BC121" s="62"/>
      <c r="BD121" s="62"/>
      <c r="BE121" s="110"/>
      <c r="BF121" s="109"/>
      <c r="BG121" s="62"/>
      <c r="BH121" s="62"/>
      <c r="BI121" s="110"/>
      <c r="BJ121" s="426"/>
      <c r="BK121" s="46"/>
      <c r="BL121" s="428"/>
      <c r="BM121" s="61"/>
      <c r="BN121" s="62"/>
      <c r="BO121" s="470"/>
      <c r="BP121" s="64"/>
      <c r="BQ121" s="61"/>
      <c r="BR121" s="65"/>
      <c r="BS121" s="66"/>
      <c r="BT121" s="64"/>
      <c r="BU121" s="61"/>
      <c r="BV121" s="65"/>
      <c r="BW121" s="66"/>
      <c r="BX121" s="431"/>
      <c r="BY121" s="68"/>
      <c r="BZ121" s="69"/>
      <c r="CA121" s="70"/>
      <c r="CB121" s="71"/>
      <c r="CC121" s="72"/>
      <c r="CD121" s="434"/>
      <c r="CE121" s="62"/>
      <c r="CF121" s="73"/>
      <c r="CG121" s="74"/>
      <c r="CH121" s="74"/>
      <c r="CI121" s="74"/>
      <c r="CJ121" s="74"/>
      <c r="CK121" s="74"/>
      <c r="CL121" s="74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144">
        <v>0.16</v>
      </c>
      <c r="DB121" s="144">
        <v>0.16</v>
      </c>
      <c r="DC121" s="31">
        <v>0.16</v>
      </c>
      <c r="DD121" s="31"/>
      <c r="DE121" s="31">
        <v>0.16</v>
      </c>
      <c r="DF121" s="31">
        <f t="shared" si="65"/>
        <v>0.08</v>
      </c>
      <c r="DG121" s="134">
        <f t="shared" si="68"/>
        <v>0.08</v>
      </c>
      <c r="DI121" s="826"/>
      <c r="DJ121" s="788"/>
    </row>
    <row r="122" spans="1:114" s="783" customFormat="1" hidden="1">
      <c r="A122" s="177"/>
      <c r="B122" s="187" t="s">
        <v>10</v>
      </c>
      <c r="C122" s="836" t="s">
        <v>54</v>
      </c>
      <c r="D122" s="31">
        <v>135</v>
      </c>
      <c r="E122" s="31">
        <v>134.99</v>
      </c>
      <c r="F122" s="31">
        <v>134.99</v>
      </c>
      <c r="G122" s="31">
        <v>134.99</v>
      </c>
      <c r="H122" s="134"/>
      <c r="I122" s="134"/>
      <c r="J122" s="134"/>
      <c r="K122" s="134"/>
      <c r="L122" s="134"/>
      <c r="M122" s="134">
        <v>9.91</v>
      </c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54"/>
      <c r="Y122" s="55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54"/>
      <c r="AK122" s="56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54"/>
      <c r="AW122" s="56"/>
      <c r="AX122" s="179"/>
      <c r="AY122" s="144">
        <v>30.77</v>
      </c>
      <c r="AZ122" s="184"/>
      <c r="BA122" s="62">
        <v>19.239999999999998</v>
      </c>
      <c r="BB122" s="62"/>
      <c r="BC122" s="62">
        <v>2.4</v>
      </c>
      <c r="BD122" s="62"/>
      <c r="BE122" s="110">
        <v>0.37</v>
      </c>
      <c r="BF122" s="109">
        <v>0.21</v>
      </c>
      <c r="BG122" s="62"/>
      <c r="BH122" s="62"/>
      <c r="BI122" s="110"/>
      <c r="BJ122" s="426">
        <f>BA122-AZ122</f>
        <v>19.239999999999998</v>
      </c>
      <c r="BK122" s="46"/>
      <c r="BL122" s="428"/>
      <c r="BM122" s="61"/>
      <c r="BN122" s="62"/>
      <c r="BO122" s="470"/>
      <c r="BP122" s="64"/>
      <c r="BQ122" s="61"/>
      <c r="BR122" s="65"/>
      <c r="BS122" s="66"/>
      <c r="BT122" s="64"/>
      <c r="BU122" s="61"/>
      <c r="BV122" s="65"/>
      <c r="BW122" s="66"/>
      <c r="BX122" s="431"/>
      <c r="BY122" s="68"/>
      <c r="BZ122" s="69">
        <f>M122+BM122+BQ122+BU122</f>
        <v>9.91</v>
      </c>
      <c r="CA122" s="70"/>
      <c r="CB122" s="71"/>
      <c r="CC122" s="72">
        <f>BZ122-E122</f>
        <v>-125.08000000000001</v>
      </c>
      <c r="CD122" s="434">
        <v>62.26</v>
      </c>
      <c r="CE122" s="62"/>
      <c r="CF122" s="73"/>
      <c r="CG122" s="74"/>
      <c r="CH122" s="74"/>
      <c r="CI122" s="74"/>
      <c r="CJ122" s="74"/>
      <c r="CK122" s="74"/>
      <c r="CL122" s="74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144">
        <v>134.99</v>
      </c>
      <c r="DB122" s="144">
        <v>40</v>
      </c>
      <c r="DC122" s="31">
        <v>134.99</v>
      </c>
      <c r="DD122" s="31">
        <v>67.84</v>
      </c>
      <c r="DE122" s="31">
        <v>134.99</v>
      </c>
      <c r="DF122" s="31">
        <f t="shared" si="65"/>
        <v>67.495000000000005</v>
      </c>
      <c r="DG122" s="134">
        <f t="shared" si="68"/>
        <v>67.495000000000005</v>
      </c>
      <c r="DI122" s="826"/>
      <c r="DJ122" s="788"/>
    </row>
    <row r="123" spans="1:114" s="783" customFormat="1" hidden="1">
      <c r="A123" s="177"/>
      <c r="B123" s="187" t="s">
        <v>192</v>
      </c>
      <c r="C123" s="836" t="s">
        <v>54</v>
      </c>
      <c r="D123" s="31"/>
      <c r="E123" s="31"/>
      <c r="F123" s="31"/>
      <c r="G123" s="31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54"/>
      <c r="Y123" s="55"/>
      <c r="Z123" s="134"/>
      <c r="AA123" s="134">
        <v>0.71</v>
      </c>
      <c r="AB123" s="134"/>
      <c r="AC123" s="134"/>
      <c r="AD123" s="134"/>
      <c r="AE123" s="134"/>
      <c r="AF123" s="134"/>
      <c r="AG123" s="134"/>
      <c r="AH123" s="134"/>
      <c r="AI123" s="134"/>
      <c r="AJ123" s="54"/>
      <c r="AK123" s="56"/>
      <c r="AL123" s="134"/>
      <c r="AM123" s="134">
        <v>0.71</v>
      </c>
      <c r="AN123" s="134"/>
      <c r="AO123" s="134"/>
      <c r="AP123" s="134"/>
      <c r="AQ123" s="134"/>
      <c r="AR123" s="134"/>
      <c r="AS123" s="134"/>
      <c r="AT123" s="134"/>
      <c r="AU123" s="134"/>
      <c r="AV123" s="54"/>
      <c r="AW123" s="56"/>
      <c r="AX123" s="179"/>
      <c r="AY123" s="144"/>
      <c r="AZ123" s="184"/>
      <c r="BA123" s="62">
        <v>40.82</v>
      </c>
      <c r="BB123" s="62"/>
      <c r="BC123" s="62"/>
      <c r="BD123" s="62"/>
      <c r="BE123" s="110"/>
      <c r="BF123" s="109"/>
      <c r="BG123" s="62">
        <v>55.18</v>
      </c>
      <c r="BH123" s="62"/>
      <c r="BI123" s="110"/>
      <c r="BJ123" s="426">
        <f>BA123-AZ123</f>
        <v>40.82</v>
      </c>
      <c r="BK123" s="46"/>
      <c r="BL123" s="428"/>
      <c r="BM123" s="61">
        <v>0.71</v>
      </c>
      <c r="BN123" s="62"/>
      <c r="BO123" s="470"/>
      <c r="BP123" s="64"/>
      <c r="BQ123" s="61"/>
      <c r="BR123" s="65"/>
      <c r="BS123" s="66"/>
      <c r="BT123" s="64"/>
      <c r="BU123" s="61"/>
      <c r="BV123" s="65"/>
      <c r="BW123" s="66"/>
      <c r="BX123" s="431"/>
      <c r="BY123" s="68"/>
      <c r="BZ123" s="69">
        <f>M123+BM123+BQ123+BU123</f>
        <v>0.71</v>
      </c>
      <c r="CA123" s="70"/>
      <c r="CB123" s="71"/>
      <c r="CC123" s="72">
        <f>BZ123-E123</f>
        <v>0.71</v>
      </c>
      <c r="CD123" s="434">
        <v>64.37</v>
      </c>
      <c r="CE123" s="62"/>
      <c r="CF123" s="73"/>
      <c r="CG123" s="74"/>
      <c r="CH123" s="74"/>
      <c r="CI123" s="74"/>
      <c r="CJ123" s="74"/>
      <c r="CK123" s="74"/>
      <c r="CL123" s="74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144"/>
      <c r="DB123" s="144"/>
      <c r="DC123" s="31"/>
      <c r="DD123" s="31"/>
      <c r="DE123" s="31"/>
      <c r="DF123" s="31">
        <f t="shared" si="65"/>
        <v>0</v>
      </c>
      <c r="DG123" s="134">
        <f t="shared" si="68"/>
        <v>0</v>
      </c>
      <c r="DI123" s="826"/>
      <c r="DJ123" s="788"/>
    </row>
    <row r="124" spans="1:114" s="783" customFormat="1" hidden="1">
      <c r="A124" s="177"/>
      <c r="B124" s="187" t="s">
        <v>309</v>
      </c>
      <c r="C124" s="836" t="s">
        <v>54</v>
      </c>
      <c r="D124" s="31"/>
      <c r="E124" s="31"/>
      <c r="F124" s="31"/>
      <c r="G124" s="31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54"/>
      <c r="Y124" s="55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54"/>
      <c r="AK124" s="56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54"/>
      <c r="AW124" s="56"/>
      <c r="AX124" s="179"/>
      <c r="AY124" s="144">
        <v>3.04</v>
      </c>
      <c r="AZ124" s="184"/>
      <c r="BA124" s="62"/>
      <c r="BB124" s="62"/>
      <c r="BC124" s="62"/>
      <c r="BD124" s="62"/>
      <c r="BE124" s="110"/>
      <c r="BF124" s="109"/>
      <c r="BG124" s="62"/>
      <c r="BH124" s="62"/>
      <c r="BI124" s="110"/>
      <c r="BJ124" s="426"/>
      <c r="BK124" s="46"/>
      <c r="BL124" s="428"/>
      <c r="BM124" s="61"/>
      <c r="BN124" s="62"/>
      <c r="BO124" s="470"/>
      <c r="BP124" s="64"/>
      <c r="BQ124" s="61"/>
      <c r="BR124" s="65"/>
      <c r="BS124" s="66"/>
      <c r="BT124" s="64"/>
      <c r="BU124" s="61"/>
      <c r="BV124" s="65"/>
      <c r="BW124" s="66"/>
      <c r="BX124" s="431"/>
      <c r="BY124" s="68"/>
      <c r="BZ124" s="69"/>
      <c r="CA124" s="70"/>
      <c r="CB124" s="71"/>
      <c r="CC124" s="72"/>
      <c r="CD124" s="434"/>
      <c r="CE124" s="62"/>
      <c r="CF124" s="73"/>
      <c r="CG124" s="74"/>
      <c r="CH124" s="74"/>
      <c r="CI124" s="74"/>
      <c r="CJ124" s="74"/>
      <c r="CK124" s="74"/>
      <c r="CL124" s="74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144"/>
      <c r="DB124" s="144"/>
      <c r="DC124" s="31">
        <v>6</v>
      </c>
      <c r="DD124" s="31">
        <v>27.38</v>
      </c>
      <c r="DE124" s="31">
        <v>6</v>
      </c>
      <c r="DF124" s="31">
        <f t="shared" si="65"/>
        <v>3</v>
      </c>
      <c r="DG124" s="134">
        <f t="shared" si="68"/>
        <v>3</v>
      </c>
      <c r="DI124" s="826"/>
      <c r="DJ124" s="788"/>
    </row>
    <row r="125" spans="1:114" s="783" customFormat="1" hidden="1">
      <c r="A125" s="177"/>
      <c r="B125" s="187" t="s">
        <v>111</v>
      </c>
      <c r="C125" s="836" t="s">
        <v>54</v>
      </c>
      <c r="D125" s="31">
        <v>11.25</v>
      </c>
      <c r="E125" s="31">
        <v>11.25</v>
      </c>
      <c r="F125" s="31">
        <v>11.25</v>
      </c>
      <c r="G125" s="31">
        <v>11.25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54"/>
      <c r="Y125" s="55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54"/>
      <c r="AK125" s="56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54"/>
      <c r="AW125" s="56"/>
      <c r="AX125" s="179"/>
      <c r="AY125" s="144">
        <v>3.24</v>
      </c>
      <c r="AZ125" s="184"/>
      <c r="BA125" s="62">
        <v>7.48</v>
      </c>
      <c r="BB125" s="62"/>
      <c r="BC125" s="62"/>
      <c r="BD125" s="62"/>
      <c r="BE125" s="110"/>
      <c r="BF125" s="109"/>
      <c r="BG125" s="62"/>
      <c r="BH125" s="62"/>
      <c r="BI125" s="110"/>
      <c r="BJ125" s="426"/>
      <c r="BK125" s="46"/>
      <c r="BL125" s="428"/>
      <c r="BM125" s="61"/>
      <c r="BN125" s="62"/>
      <c r="BO125" s="470"/>
      <c r="BP125" s="64"/>
      <c r="BQ125" s="61"/>
      <c r="BR125" s="65"/>
      <c r="BS125" s="66"/>
      <c r="BT125" s="64"/>
      <c r="BU125" s="61"/>
      <c r="BV125" s="65"/>
      <c r="BW125" s="66"/>
      <c r="BX125" s="431"/>
      <c r="BY125" s="68"/>
      <c r="BZ125" s="69"/>
      <c r="CA125" s="70"/>
      <c r="CB125" s="71"/>
      <c r="CC125" s="72"/>
      <c r="CD125" s="434"/>
      <c r="CE125" s="62"/>
      <c r="CF125" s="73"/>
      <c r="CG125" s="74"/>
      <c r="CH125" s="74"/>
      <c r="CI125" s="74"/>
      <c r="CJ125" s="74"/>
      <c r="CK125" s="74"/>
      <c r="CL125" s="74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144">
        <v>11.25</v>
      </c>
      <c r="DB125" s="144">
        <v>11.25</v>
      </c>
      <c r="DC125" s="31">
        <v>11.25</v>
      </c>
      <c r="DD125" s="31"/>
      <c r="DE125" s="31">
        <v>11.25</v>
      </c>
      <c r="DF125" s="31">
        <f t="shared" si="65"/>
        <v>5.625</v>
      </c>
      <c r="DG125" s="134">
        <f t="shared" si="68"/>
        <v>5.625</v>
      </c>
      <c r="DI125" s="826"/>
      <c r="DJ125" s="788"/>
    </row>
    <row r="126" spans="1:114" s="783" customFormat="1" hidden="1">
      <c r="A126" s="194"/>
      <c r="B126" s="195" t="s">
        <v>159</v>
      </c>
      <c r="C126" s="836" t="s">
        <v>54</v>
      </c>
      <c r="D126" s="31">
        <v>3.6</v>
      </c>
      <c r="E126" s="31">
        <v>3.6</v>
      </c>
      <c r="F126" s="31">
        <v>3.6</v>
      </c>
      <c r="G126" s="31">
        <v>3.6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96"/>
      <c r="Y126" s="197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96"/>
      <c r="AK126" s="198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96"/>
      <c r="AW126" s="198"/>
      <c r="AX126" s="144"/>
      <c r="AY126" s="144">
        <v>3.6</v>
      </c>
      <c r="AZ126" s="149"/>
      <c r="BA126" s="62">
        <v>2.25</v>
      </c>
      <c r="BB126" s="150"/>
      <c r="BC126" s="62">
        <v>1.24</v>
      </c>
      <c r="BD126" s="150"/>
      <c r="BE126" s="110">
        <v>0.1</v>
      </c>
      <c r="BF126" s="149"/>
      <c r="BG126" s="150"/>
      <c r="BH126" s="150"/>
      <c r="BI126" s="151"/>
      <c r="BJ126" s="435"/>
      <c r="BK126" s="482"/>
      <c r="BL126" s="437"/>
      <c r="BM126" s="483"/>
      <c r="BN126" s="150"/>
      <c r="BO126" s="484"/>
      <c r="BP126" s="485"/>
      <c r="BQ126" s="483"/>
      <c r="BR126" s="486"/>
      <c r="BS126" s="487"/>
      <c r="BT126" s="485"/>
      <c r="BU126" s="483"/>
      <c r="BV126" s="486"/>
      <c r="BW126" s="487"/>
      <c r="BX126" s="440"/>
      <c r="BY126" s="488"/>
      <c r="BZ126" s="489"/>
      <c r="CA126" s="490"/>
      <c r="CB126" s="491"/>
      <c r="CC126" s="246"/>
      <c r="CD126" s="443"/>
      <c r="CE126" s="150"/>
      <c r="CF126" s="492"/>
      <c r="CG126" s="74"/>
      <c r="CH126" s="74"/>
      <c r="CI126" s="74"/>
      <c r="CJ126" s="74"/>
      <c r="CK126" s="74"/>
      <c r="CL126" s="74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144">
        <v>3.6</v>
      </c>
      <c r="DB126" s="144">
        <v>3.6</v>
      </c>
      <c r="DC126" s="31">
        <v>3.6</v>
      </c>
      <c r="DD126" s="31">
        <v>3.6</v>
      </c>
      <c r="DE126" s="31">
        <v>3.6</v>
      </c>
      <c r="DF126" s="31">
        <f t="shared" si="65"/>
        <v>1.8</v>
      </c>
      <c r="DG126" s="134">
        <f t="shared" si="68"/>
        <v>1.8</v>
      </c>
      <c r="DI126" s="826"/>
      <c r="DJ126" s="788"/>
    </row>
    <row r="127" spans="1:114" s="783" customFormat="1" hidden="1">
      <c r="A127" s="194"/>
      <c r="B127" s="195" t="s">
        <v>8</v>
      </c>
      <c r="C127" s="836" t="s">
        <v>54</v>
      </c>
      <c r="D127" s="31">
        <v>8</v>
      </c>
      <c r="E127" s="31">
        <v>8</v>
      </c>
      <c r="F127" s="31">
        <v>8</v>
      </c>
      <c r="G127" s="31">
        <v>8</v>
      </c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96"/>
      <c r="Y127" s="197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96"/>
      <c r="AK127" s="198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96"/>
      <c r="AW127" s="198"/>
      <c r="AX127" s="144"/>
      <c r="AY127" s="144"/>
      <c r="AZ127" s="149"/>
      <c r="BA127" s="62"/>
      <c r="BB127" s="150"/>
      <c r="BC127" s="62"/>
      <c r="BD127" s="150"/>
      <c r="BE127" s="151"/>
      <c r="BF127" s="149"/>
      <c r="BG127" s="150"/>
      <c r="BH127" s="150"/>
      <c r="BI127" s="151"/>
      <c r="BJ127" s="435"/>
      <c r="BK127" s="482"/>
      <c r="BL127" s="437"/>
      <c r="BM127" s="483"/>
      <c r="BN127" s="150"/>
      <c r="BO127" s="484"/>
      <c r="BP127" s="485"/>
      <c r="BQ127" s="483"/>
      <c r="BR127" s="486"/>
      <c r="BS127" s="487"/>
      <c r="BT127" s="485"/>
      <c r="BU127" s="483"/>
      <c r="BV127" s="486"/>
      <c r="BW127" s="487"/>
      <c r="BX127" s="440"/>
      <c r="BY127" s="488"/>
      <c r="BZ127" s="489"/>
      <c r="CA127" s="490"/>
      <c r="CB127" s="491"/>
      <c r="CC127" s="246"/>
      <c r="CD127" s="443"/>
      <c r="CE127" s="150"/>
      <c r="CF127" s="492"/>
      <c r="CG127" s="74"/>
      <c r="CH127" s="74"/>
      <c r="CI127" s="74"/>
      <c r="CJ127" s="74"/>
      <c r="CK127" s="74"/>
      <c r="CL127" s="74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144">
        <v>8</v>
      </c>
      <c r="DB127" s="144">
        <v>8</v>
      </c>
      <c r="DC127" s="31">
        <v>8</v>
      </c>
      <c r="DD127" s="31"/>
      <c r="DE127" s="31">
        <v>8</v>
      </c>
      <c r="DF127" s="31">
        <f t="shared" si="65"/>
        <v>4</v>
      </c>
      <c r="DG127" s="134">
        <f t="shared" si="68"/>
        <v>4</v>
      </c>
      <c r="DI127" s="826"/>
      <c r="DJ127" s="788"/>
    </row>
    <row r="128" spans="1:114" s="783" customFormat="1" hidden="1">
      <c r="A128" s="194"/>
      <c r="B128" s="195" t="s">
        <v>175</v>
      </c>
      <c r="C128" s="836" t="s">
        <v>54</v>
      </c>
      <c r="D128" s="31">
        <v>5.25</v>
      </c>
      <c r="E128" s="31">
        <v>6</v>
      </c>
      <c r="F128" s="31">
        <v>6</v>
      </c>
      <c r="G128" s="31">
        <v>6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96"/>
      <c r="Y128" s="197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96"/>
      <c r="AK128" s="198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96"/>
      <c r="AW128" s="198"/>
      <c r="AX128" s="144"/>
      <c r="AY128" s="144"/>
      <c r="AZ128" s="149"/>
      <c r="BA128" s="62"/>
      <c r="BB128" s="150"/>
      <c r="BC128" s="62"/>
      <c r="BD128" s="150"/>
      <c r="BE128" s="151"/>
      <c r="BF128" s="149"/>
      <c r="BG128" s="150"/>
      <c r="BH128" s="150"/>
      <c r="BI128" s="151"/>
      <c r="BJ128" s="435"/>
      <c r="BK128" s="482"/>
      <c r="BL128" s="437"/>
      <c r="BM128" s="483"/>
      <c r="BN128" s="150"/>
      <c r="BO128" s="484"/>
      <c r="BP128" s="485"/>
      <c r="BQ128" s="483"/>
      <c r="BR128" s="486"/>
      <c r="BS128" s="487"/>
      <c r="BT128" s="485"/>
      <c r="BU128" s="483"/>
      <c r="BV128" s="486"/>
      <c r="BW128" s="487"/>
      <c r="BX128" s="440"/>
      <c r="BY128" s="488"/>
      <c r="BZ128" s="489"/>
      <c r="CA128" s="490"/>
      <c r="CB128" s="491"/>
      <c r="CC128" s="246"/>
      <c r="CD128" s="443"/>
      <c r="CE128" s="150"/>
      <c r="CF128" s="492"/>
      <c r="CG128" s="74"/>
      <c r="CH128" s="74"/>
      <c r="CI128" s="74"/>
      <c r="CJ128" s="74"/>
      <c r="CK128" s="74"/>
      <c r="CL128" s="74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144">
        <v>6</v>
      </c>
      <c r="DB128" s="144">
        <v>6</v>
      </c>
      <c r="DC128" s="31">
        <v>6</v>
      </c>
      <c r="DD128" s="31"/>
      <c r="DE128" s="31">
        <v>6</v>
      </c>
      <c r="DF128" s="31">
        <f t="shared" si="65"/>
        <v>3</v>
      </c>
      <c r="DG128" s="134">
        <f t="shared" si="68"/>
        <v>3</v>
      </c>
      <c r="DI128" s="826"/>
      <c r="DJ128" s="788"/>
    </row>
    <row r="129" spans="1:114" s="783" customFormat="1" hidden="1">
      <c r="A129" s="194"/>
      <c r="B129" s="195" t="s">
        <v>56</v>
      </c>
      <c r="C129" s="836" t="s">
        <v>54</v>
      </c>
      <c r="D129" s="31">
        <v>100.1</v>
      </c>
      <c r="E129" s="31"/>
      <c r="F129" s="31"/>
      <c r="G129" s="31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96"/>
      <c r="Y129" s="197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96"/>
      <c r="AK129" s="198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96"/>
      <c r="AW129" s="198"/>
      <c r="AX129" s="144"/>
      <c r="AY129" s="144"/>
      <c r="AZ129" s="149"/>
      <c r="BA129" s="62">
        <v>61.6</v>
      </c>
      <c r="BB129" s="150"/>
      <c r="BC129" s="62">
        <v>30.8</v>
      </c>
      <c r="BD129" s="150"/>
      <c r="BE129" s="151"/>
      <c r="BF129" s="149"/>
      <c r="BG129" s="150"/>
      <c r="BH129" s="150"/>
      <c r="BI129" s="151"/>
      <c r="BJ129" s="435"/>
      <c r="BK129" s="482"/>
      <c r="BL129" s="437"/>
      <c r="BM129" s="483"/>
      <c r="BN129" s="150"/>
      <c r="BO129" s="484"/>
      <c r="BP129" s="485"/>
      <c r="BQ129" s="483"/>
      <c r="BR129" s="486"/>
      <c r="BS129" s="487"/>
      <c r="BT129" s="485"/>
      <c r="BU129" s="483"/>
      <c r="BV129" s="486"/>
      <c r="BW129" s="487"/>
      <c r="BX129" s="440"/>
      <c r="BY129" s="488"/>
      <c r="BZ129" s="489"/>
      <c r="CA129" s="490"/>
      <c r="CB129" s="491"/>
      <c r="CC129" s="246"/>
      <c r="CD129" s="443"/>
      <c r="CE129" s="150"/>
      <c r="CF129" s="492"/>
      <c r="CG129" s="74"/>
      <c r="CH129" s="74"/>
      <c r="CI129" s="74"/>
      <c r="CJ129" s="74"/>
      <c r="CK129" s="74"/>
      <c r="CL129" s="74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144"/>
      <c r="DB129" s="144"/>
      <c r="DC129" s="31"/>
      <c r="DD129" s="31"/>
      <c r="DE129" s="31"/>
      <c r="DF129" s="31">
        <f t="shared" si="65"/>
        <v>0</v>
      </c>
      <c r="DG129" s="134">
        <f t="shared" si="68"/>
        <v>0</v>
      </c>
      <c r="DI129" s="826"/>
      <c r="DJ129" s="788"/>
    </row>
    <row r="130" spans="1:114" s="783" customFormat="1" hidden="1">
      <c r="A130" s="177"/>
      <c r="B130" s="187" t="s">
        <v>158</v>
      </c>
      <c r="C130" s="836" t="s">
        <v>54</v>
      </c>
      <c r="D130" s="31"/>
      <c r="E130" s="31"/>
      <c r="F130" s="31"/>
      <c r="G130" s="31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54"/>
      <c r="Y130" s="55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54"/>
      <c r="AK130" s="56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54"/>
      <c r="AW130" s="56"/>
      <c r="AX130" s="179"/>
      <c r="AY130" s="144">
        <v>1.3</v>
      </c>
      <c r="AZ130" s="184"/>
      <c r="BA130" s="62"/>
      <c r="BB130" s="62"/>
      <c r="BC130" s="62"/>
      <c r="BD130" s="62"/>
      <c r="BE130" s="110"/>
      <c r="BF130" s="109"/>
      <c r="BG130" s="62">
        <v>1.1000000000000001</v>
      </c>
      <c r="BH130" s="62"/>
      <c r="BI130" s="110"/>
      <c r="BJ130" s="426"/>
      <c r="BK130" s="46"/>
      <c r="BL130" s="428"/>
      <c r="BM130" s="61"/>
      <c r="BN130" s="62"/>
      <c r="BO130" s="470"/>
      <c r="BP130" s="64"/>
      <c r="BQ130" s="61"/>
      <c r="BR130" s="65"/>
      <c r="BS130" s="66"/>
      <c r="BT130" s="64"/>
      <c r="BU130" s="61"/>
      <c r="BV130" s="65"/>
      <c r="BW130" s="66"/>
      <c r="BX130" s="431"/>
      <c r="BY130" s="68"/>
      <c r="BZ130" s="69"/>
      <c r="CA130" s="70"/>
      <c r="CB130" s="71"/>
      <c r="CC130" s="72"/>
      <c r="CD130" s="434"/>
      <c r="CE130" s="62"/>
      <c r="CF130" s="73"/>
      <c r="CG130" s="74"/>
      <c r="CH130" s="74"/>
      <c r="CI130" s="74"/>
      <c r="CJ130" s="74"/>
      <c r="CK130" s="74"/>
      <c r="CL130" s="74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144"/>
      <c r="DB130" s="144"/>
      <c r="DC130" s="31"/>
      <c r="DD130" s="31"/>
      <c r="DE130" s="31"/>
      <c r="DF130" s="31">
        <f t="shared" si="65"/>
        <v>0</v>
      </c>
      <c r="DG130" s="134">
        <f t="shared" si="68"/>
        <v>0</v>
      </c>
      <c r="DI130" s="826"/>
      <c r="DJ130" s="788"/>
    </row>
    <row r="131" spans="1:114" s="783" customFormat="1" hidden="1">
      <c r="A131" s="194"/>
      <c r="B131" s="195" t="s">
        <v>19</v>
      </c>
      <c r="C131" s="837" t="s">
        <v>54</v>
      </c>
      <c r="D131" s="31"/>
      <c r="E131" s="31">
        <v>12</v>
      </c>
      <c r="F131" s="31">
        <v>12</v>
      </c>
      <c r="G131" s="31">
        <v>12</v>
      </c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218"/>
      <c r="Y131" s="197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218"/>
      <c r="AK131" s="198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218"/>
      <c r="AW131" s="198"/>
      <c r="AX131" s="193"/>
      <c r="AY131" s="144">
        <v>4.8600000000000003</v>
      </c>
      <c r="AZ131" s="204"/>
      <c r="BA131" s="62"/>
      <c r="BB131" s="150"/>
      <c r="BC131" s="62"/>
      <c r="BD131" s="150"/>
      <c r="BE131" s="151"/>
      <c r="BF131" s="149">
        <v>11.67</v>
      </c>
      <c r="BG131" s="150"/>
      <c r="BH131" s="150"/>
      <c r="BI131" s="151"/>
      <c r="BJ131" s="435"/>
      <c r="BK131" s="482"/>
      <c r="BL131" s="437"/>
      <c r="BM131" s="483"/>
      <c r="BN131" s="150"/>
      <c r="BO131" s="484"/>
      <c r="BP131" s="485"/>
      <c r="BQ131" s="483"/>
      <c r="BR131" s="486"/>
      <c r="BS131" s="487"/>
      <c r="BT131" s="485"/>
      <c r="BU131" s="483"/>
      <c r="BV131" s="486"/>
      <c r="BW131" s="487"/>
      <c r="BX131" s="440"/>
      <c r="BY131" s="488"/>
      <c r="BZ131" s="489"/>
      <c r="CA131" s="490"/>
      <c r="CB131" s="491"/>
      <c r="CC131" s="246"/>
      <c r="CD131" s="443"/>
      <c r="CE131" s="150"/>
      <c r="CF131" s="492"/>
      <c r="CG131" s="74"/>
      <c r="CH131" s="74"/>
      <c r="CI131" s="74"/>
      <c r="CJ131" s="74"/>
      <c r="CK131" s="74"/>
      <c r="CL131" s="74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144">
        <v>12</v>
      </c>
      <c r="DB131" s="144">
        <v>12</v>
      </c>
      <c r="DC131" s="31">
        <v>12</v>
      </c>
      <c r="DD131" s="31">
        <v>12.96</v>
      </c>
      <c r="DE131" s="31">
        <v>12</v>
      </c>
      <c r="DF131" s="31">
        <f t="shared" si="65"/>
        <v>6</v>
      </c>
      <c r="DG131" s="134">
        <f t="shared" si="68"/>
        <v>6</v>
      </c>
      <c r="DI131" s="826"/>
      <c r="DJ131" s="788"/>
    </row>
    <row r="132" spans="1:114" s="783" customFormat="1" hidden="1">
      <c r="A132" s="194"/>
      <c r="B132" s="195" t="s">
        <v>310</v>
      </c>
      <c r="C132" s="837" t="s">
        <v>54</v>
      </c>
      <c r="D132" s="78"/>
      <c r="E132" s="78"/>
      <c r="F132" s="78"/>
      <c r="G132" s="78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218"/>
      <c r="Y132" s="197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218"/>
      <c r="AK132" s="198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218"/>
      <c r="AW132" s="198"/>
      <c r="AX132" s="193"/>
      <c r="AY132" s="144">
        <v>14.03</v>
      </c>
      <c r="AZ132" s="204"/>
      <c r="BA132" s="62"/>
      <c r="BB132" s="150"/>
      <c r="BC132" s="62"/>
      <c r="BD132" s="150"/>
      <c r="BE132" s="151"/>
      <c r="BF132" s="149"/>
      <c r="BG132" s="150"/>
      <c r="BH132" s="150"/>
      <c r="BI132" s="151"/>
      <c r="BJ132" s="435"/>
      <c r="BK132" s="482"/>
      <c r="BL132" s="437"/>
      <c r="BM132" s="483"/>
      <c r="BN132" s="150"/>
      <c r="BO132" s="484"/>
      <c r="BP132" s="485"/>
      <c r="BQ132" s="483"/>
      <c r="BR132" s="486"/>
      <c r="BS132" s="487"/>
      <c r="BT132" s="485"/>
      <c r="BU132" s="483"/>
      <c r="BV132" s="486"/>
      <c r="BW132" s="487"/>
      <c r="BX132" s="440"/>
      <c r="BY132" s="488"/>
      <c r="BZ132" s="489"/>
      <c r="CA132" s="490"/>
      <c r="CB132" s="491"/>
      <c r="CC132" s="246"/>
      <c r="CD132" s="443"/>
      <c r="CE132" s="150"/>
      <c r="CF132" s="492"/>
      <c r="CG132" s="74"/>
      <c r="CH132" s="74"/>
      <c r="CI132" s="74"/>
      <c r="CJ132" s="74"/>
      <c r="CK132" s="74"/>
      <c r="CL132" s="74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144"/>
      <c r="DB132" s="144"/>
      <c r="DC132" s="78"/>
      <c r="DD132" s="78"/>
      <c r="DE132" s="78"/>
      <c r="DF132" s="31">
        <f t="shared" si="65"/>
        <v>0</v>
      </c>
      <c r="DG132" s="134">
        <f t="shared" si="68"/>
        <v>0</v>
      </c>
      <c r="DI132" s="826"/>
      <c r="DJ132" s="788"/>
    </row>
    <row r="133" spans="1:114" s="783" customFormat="1" hidden="1">
      <c r="A133" s="194"/>
      <c r="B133" s="195" t="s">
        <v>63</v>
      </c>
      <c r="C133" s="837" t="s">
        <v>54</v>
      </c>
      <c r="D133" s="31"/>
      <c r="E133" s="31"/>
      <c r="F133" s="31"/>
      <c r="G133" s="31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96"/>
      <c r="Y133" s="197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96"/>
      <c r="AK133" s="198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96"/>
      <c r="AW133" s="198"/>
      <c r="AX133" s="144"/>
      <c r="AY133" s="144"/>
      <c r="AZ133" s="149"/>
      <c r="BA133" s="62"/>
      <c r="BB133" s="150"/>
      <c r="BC133" s="62"/>
      <c r="BD133" s="150"/>
      <c r="BE133" s="151"/>
      <c r="BF133" s="149"/>
      <c r="BG133" s="150"/>
      <c r="BH133" s="150"/>
      <c r="BI133" s="151"/>
      <c r="BJ133" s="435"/>
      <c r="BK133" s="482"/>
      <c r="BL133" s="437"/>
      <c r="BM133" s="483"/>
      <c r="BN133" s="150"/>
      <c r="BO133" s="484"/>
      <c r="BP133" s="485"/>
      <c r="BQ133" s="483"/>
      <c r="BR133" s="486"/>
      <c r="BS133" s="487"/>
      <c r="BT133" s="485"/>
      <c r="BU133" s="483"/>
      <c r="BV133" s="486"/>
      <c r="BW133" s="487"/>
      <c r="BX133" s="440"/>
      <c r="BY133" s="488"/>
      <c r="BZ133" s="489"/>
      <c r="CA133" s="490"/>
      <c r="CB133" s="491"/>
      <c r="CC133" s="246"/>
      <c r="CD133" s="443"/>
      <c r="CE133" s="150"/>
      <c r="CF133" s="492"/>
      <c r="CG133" s="74"/>
      <c r="CH133" s="74"/>
      <c r="CI133" s="74"/>
      <c r="CJ133" s="74"/>
      <c r="CK133" s="74"/>
      <c r="CL133" s="74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144"/>
      <c r="DB133" s="144"/>
      <c r="DC133" s="31"/>
      <c r="DD133" s="31"/>
      <c r="DE133" s="31"/>
      <c r="DF133" s="31">
        <f t="shared" si="65"/>
        <v>0</v>
      </c>
      <c r="DG133" s="134">
        <f t="shared" si="68"/>
        <v>0</v>
      </c>
      <c r="DI133" s="826"/>
      <c r="DJ133" s="788"/>
    </row>
    <row r="134" spans="1:114" s="783" customFormat="1" hidden="1">
      <c r="A134" s="177"/>
      <c r="B134" s="187" t="s">
        <v>193</v>
      </c>
      <c r="C134" s="837" t="s">
        <v>54</v>
      </c>
      <c r="D134" s="31"/>
      <c r="E134" s="31"/>
      <c r="F134" s="31"/>
      <c r="G134" s="31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54"/>
      <c r="Y134" s="55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54"/>
      <c r="AK134" s="56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54"/>
      <c r="AW134" s="56"/>
      <c r="AX134" s="179"/>
      <c r="AY134" s="144">
        <v>67.680000000000007</v>
      </c>
      <c r="AZ134" s="184"/>
      <c r="BA134" s="62"/>
      <c r="BB134" s="62"/>
      <c r="BC134" s="62"/>
      <c r="BD134" s="62"/>
      <c r="BE134" s="110"/>
      <c r="BF134" s="109"/>
      <c r="BG134" s="62">
        <v>98.12</v>
      </c>
      <c r="BH134" s="62"/>
      <c r="BI134" s="110"/>
      <c r="BJ134" s="426">
        <f>BA134-AZ134</f>
        <v>0</v>
      </c>
      <c r="BK134" s="46"/>
      <c r="BL134" s="428"/>
      <c r="BM134" s="61"/>
      <c r="BN134" s="62"/>
      <c r="BO134" s="470"/>
      <c r="BP134" s="64"/>
      <c r="BQ134" s="61"/>
      <c r="BR134" s="65"/>
      <c r="BS134" s="66"/>
      <c r="BT134" s="64"/>
      <c r="BU134" s="61"/>
      <c r="BV134" s="65"/>
      <c r="BW134" s="66"/>
      <c r="BX134" s="431"/>
      <c r="BY134" s="68"/>
      <c r="BZ134" s="69">
        <f>M134+BM134+BQ134+BU134</f>
        <v>0</v>
      </c>
      <c r="CA134" s="70"/>
      <c r="CB134" s="71"/>
      <c r="CC134" s="72">
        <f>BZ134-E134</f>
        <v>0</v>
      </c>
      <c r="CD134" s="434">
        <v>11.15</v>
      </c>
      <c r="CE134" s="62"/>
      <c r="CF134" s="73"/>
      <c r="CG134" s="74"/>
      <c r="CH134" s="74"/>
      <c r="CI134" s="74"/>
      <c r="CJ134" s="74"/>
      <c r="CK134" s="74"/>
      <c r="CL134" s="74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144"/>
      <c r="DB134" s="144"/>
      <c r="DC134" s="31"/>
      <c r="DD134" s="31"/>
      <c r="DE134" s="31"/>
      <c r="DF134" s="31"/>
      <c r="DG134" s="134"/>
      <c r="DI134" s="826"/>
      <c r="DJ134" s="788"/>
    </row>
    <row r="135" spans="1:114" s="783" customFormat="1">
      <c r="A135" s="208" t="s">
        <v>263</v>
      </c>
      <c r="B135" s="160" t="s">
        <v>341</v>
      </c>
      <c r="C135" s="833" t="s">
        <v>54</v>
      </c>
      <c r="D135" s="117">
        <f>SUM(D136,D144,D146)</f>
        <v>3052.59</v>
      </c>
      <c r="E135" s="117">
        <f>SUM(E136,E144,E146)</f>
        <v>3195.41</v>
      </c>
      <c r="F135" s="117">
        <f>SUM(F136,F144,F146)</f>
        <v>3195.41</v>
      </c>
      <c r="G135" s="117">
        <f>SUM(G136,G144,G146)</f>
        <v>3195.41</v>
      </c>
      <c r="H135" s="117" t="e">
        <f>#REF!+H136+#REF!+#REF!+H146+#REF!</f>
        <v>#REF!</v>
      </c>
      <c r="I135" s="117" t="e">
        <f>#REF!+I136+#REF!+#REF!+I146+#REF!</f>
        <v>#REF!</v>
      </c>
      <c r="J135" s="117" t="e">
        <f>#REF!+J136+#REF!+#REF!+J146+#REF!</f>
        <v>#REF!</v>
      </c>
      <c r="K135" s="117" t="e">
        <f>#REF!+K136+#REF!+#REF!+K146+#REF!</f>
        <v>#REF!</v>
      </c>
      <c r="L135" s="117" t="e">
        <f>#REF!+L136+#REF!+#REF!+L146+#REF!</f>
        <v>#REF!</v>
      </c>
      <c r="M135" s="117" t="e">
        <f>#REF!+M136+#REF!+#REF!+M146+#REF!</f>
        <v>#REF!</v>
      </c>
      <c r="N135" s="117">
        <v>201.55</v>
      </c>
      <c r="O135" s="117">
        <v>195.33</v>
      </c>
      <c r="P135" s="117">
        <v>22.39</v>
      </c>
      <c r="Q135" s="117" t="e">
        <f>#REF!+Q136</f>
        <v>#REF!</v>
      </c>
      <c r="R135" s="117" t="e">
        <f>#REF!+R136+#REF!+#REF!+R146+#REF!</f>
        <v>#REF!</v>
      </c>
      <c r="S135" s="117">
        <v>224.63</v>
      </c>
      <c r="T135" s="117" t="e">
        <f>#REF!+T136+#REF!+#REF!+T146+#REF!</f>
        <v>#REF!</v>
      </c>
      <c r="U135" s="117" t="e">
        <f>#REF!+U136+#REF!+#REF!+U146+#REF!</f>
        <v>#REF!</v>
      </c>
      <c r="V135" s="117">
        <f>V136</f>
        <v>7.34</v>
      </c>
      <c r="W135" s="117"/>
      <c r="X135" s="209"/>
      <c r="Y135" s="210"/>
      <c r="Z135" s="117" t="e">
        <f>#REF!+Z136+#REF!+#REF!+Z146+#REF!</f>
        <v>#REF!</v>
      </c>
      <c r="AA135" s="117" t="e">
        <f>#REF!+AA136+#REF!+#REF!+AA146+#REF!</f>
        <v>#REF!</v>
      </c>
      <c r="AB135" s="117" t="e">
        <f>#REF!+AB136+#REF!+#REF!+AB146+#REF!</f>
        <v>#REF!</v>
      </c>
      <c r="AC135" s="117" t="e">
        <f>#REF!+AC136+#REF!+#REF!+AC146+#REF!</f>
        <v>#REF!</v>
      </c>
      <c r="AD135" s="117" t="e">
        <f>#REF!+AD136+#REF!+#REF!+AD146+#REF!</f>
        <v>#REF!</v>
      </c>
      <c r="AE135" s="117" t="e">
        <f>#REF!+AE136+#REF!+#REF!+AE146+#REF!</f>
        <v>#REF!</v>
      </c>
      <c r="AF135" s="117" t="e">
        <f>#REF!+AF136+#REF!+#REF!+AF146+#REF!</f>
        <v>#REF!</v>
      </c>
      <c r="AG135" s="117" t="e">
        <f>#REF!+AG136+#REF!+#REF!+AG146+#REF!</f>
        <v>#REF!</v>
      </c>
      <c r="AH135" s="117">
        <f>AH136</f>
        <v>0</v>
      </c>
      <c r="AI135" s="117"/>
      <c r="AJ135" s="209"/>
      <c r="AK135" s="211"/>
      <c r="AL135" s="117" t="e">
        <f>#REF!+AL136+#REF!+#REF!+AL146+#REF!</f>
        <v>#REF!</v>
      </c>
      <c r="AM135" s="117" t="e">
        <f>#REF!+AM136+#REF!+#REF!+AM146+#REF!</f>
        <v>#REF!</v>
      </c>
      <c r="AN135" s="117" t="e">
        <f>#REF!+AN136+#REF!+#REF!+AN146+#REF!</f>
        <v>#REF!</v>
      </c>
      <c r="AO135" s="117" t="e">
        <f>#REF!+AO136+#REF!+#REF!+AO146+#REF!</f>
        <v>#REF!</v>
      </c>
      <c r="AP135" s="117" t="e">
        <f>#REF!+AP136+#REF!+#REF!+AP146+#REF!</f>
        <v>#REF!</v>
      </c>
      <c r="AQ135" s="117" t="e">
        <f>#REF!+AQ136+#REF!+#REF!+AQ146+#REF!</f>
        <v>#REF!</v>
      </c>
      <c r="AR135" s="117" t="e">
        <f>#REF!+AR136+#REF!+#REF!+AR146+#REF!</f>
        <v>#REF!</v>
      </c>
      <c r="AS135" s="117" t="e">
        <f>#REF!+AS136+#REF!+#REF!+AS146+#REF!</f>
        <v>#REF!</v>
      </c>
      <c r="AT135" s="117">
        <f>AT136</f>
        <v>0</v>
      </c>
      <c r="AU135" s="117"/>
      <c r="AV135" s="209"/>
      <c r="AW135" s="211"/>
      <c r="AX135" s="117">
        <f>G135/2</f>
        <v>1597.7049999999999</v>
      </c>
      <c r="AY135" s="117">
        <f>SUM(AY136,AY144,AY146,AY141)</f>
        <v>3353.3500000000004</v>
      </c>
      <c r="AZ135" s="121" t="e">
        <f>#REF!+AZ136+#REF!+#REF!+AZ146+#REF!</f>
        <v>#REF!</v>
      </c>
      <c r="BA135" s="122">
        <f>SUM(BA136,BA141,BA144,BA146)</f>
        <v>1414.23</v>
      </c>
      <c r="BB135" s="122">
        <f t="shared" ref="BB135:BG135" si="69">SUM(BB136,BB141,BB144,BB146)</f>
        <v>0</v>
      </c>
      <c r="BC135" s="122">
        <f t="shared" si="69"/>
        <v>981.49</v>
      </c>
      <c r="BD135" s="122">
        <f t="shared" si="69"/>
        <v>0</v>
      </c>
      <c r="BE135" s="123">
        <f t="shared" si="69"/>
        <v>262.14</v>
      </c>
      <c r="BF135" s="121">
        <f>SUM(BF136,BF141,BF144,BF146)</f>
        <v>292.12326999999999</v>
      </c>
      <c r="BG135" s="122">
        <f t="shared" si="69"/>
        <v>247.71760999999998</v>
      </c>
      <c r="BH135" s="122"/>
      <c r="BI135" s="123"/>
      <c r="BJ135" s="288" t="e">
        <f t="shared" ref="BJ135:BJ158" si="70">BA135-AZ135</f>
        <v>#REF!</v>
      </c>
      <c r="BK135" s="515" t="e">
        <f t="shared" ref="BK135:BK140" si="71">BA135/AZ135</f>
        <v>#REF!</v>
      </c>
      <c r="BL135" s="408"/>
      <c r="BM135" s="516" t="e">
        <f>#REF!+BM136+#REF!+#REF!+BM146+#REF!</f>
        <v>#REF!</v>
      </c>
      <c r="BN135" s="122"/>
      <c r="BO135" s="409"/>
      <c r="BP135" s="448"/>
      <c r="BQ135" s="516"/>
      <c r="BR135" s="517"/>
      <c r="BS135" s="518"/>
      <c r="BT135" s="448"/>
      <c r="BU135" s="516"/>
      <c r="BV135" s="517"/>
      <c r="BW135" s="518"/>
      <c r="BX135" s="411">
        <v>4042.09</v>
      </c>
      <c r="BY135" s="449">
        <f>F135</f>
        <v>3195.41</v>
      </c>
      <c r="BZ135" s="209" t="e">
        <f>M135+BM135+BQ135+BU135</f>
        <v>#REF!</v>
      </c>
      <c r="CA135" s="516" t="e">
        <f>BZ135-BY135</f>
        <v>#REF!</v>
      </c>
      <c r="CB135" s="515" t="e">
        <f>BZ135/BY135</f>
        <v>#REF!</v>
      </c>
      <c r="CC135" s="444" t="e">
        <f>BZ135-E135</f>
        <v>#REF!</v>
      </c>
      <c r="CD135" s="415" t="e">
        <f>BZ135-CE135</f>
        <v>#REF!</v>
      </c>
      <c r="CE135" s="122">
        <v>188.68</v>
      </c>
      <c r="CF135" s="519">
        <v>0</v>
      </c>
      <c r="CG135" s="450"/>
      <c r="CH135" s="450"/>
      <c r="CI135" s="450"/>
      <c r="CJ135" s="450"/>
      <c r="CK135" s="450"/>
      <c r="CL135" s="450"/>
      <c r="CM135" s="451"/>
      <c r="CN135" s="451"/>
      <c r="CO135" s="451"/>
      <c r="CP135" s="451"/>
      <c r="CQ135" s="451"/>
      <c r="CR135" s="451"/>
      <c r="CS135" s="451"/>
      <c r="CT135" s="451"/>
      <c r="CU135" s="451"/>
      <c r="CV135" s="451"/>
      <c r="CW135" s="451"/>
      <c r="CX135" s="451"/>
      <c r="CY135" s="451"/>
      <c r="CZ135" s="451"/>
      <c r="DA135" s="117">
        <f>SUM(DA136,DA144,DA146,DA141)</f>
        <v>3195.4119699999997</v>
      </c>
      <c r="DB135" s="117">
        <f>SUM(DB136,DB144,DB146,DB141)</f>
        <v>3195.4119699999997</v>
      </c>
      <c r="DC135" s="117">
        <f>SUM(DC136,DC144,DC146)</f>
        <v>3206.41</v>
      </c>
      <c r="DD135" s="117">
        <f>SUM(DD136,DD144,DD146)</f>
        <v>3168.37</v>
      </c>
      <c r="DE135" s="117">
        <f>SUM(DE136,DE144,DE146)</f>
        <v>3217.1019699999997</v>
      </c>
      <c r="DF135" s="117">
        <f>SUM(DF136,DF144,DF146)</f>
        <v>1608.5509849999999</v>
      </c>
      <c r="DG135" s="117">
        <f>SUM(DG136,DG144,DG146)</f>
        <v>1608.5509849999999</v>
      </c>
      <c r="DI135" s="826"/>
      <c r="DJ135" s="788"/>
    </row>
    <row r="136" spans="1:114" s="783" customFormat="1">
      <c r="A136" s="177" t="s">
        <v>138</v>
      </c>
      <c r="B136" s="178" t="s">
        <v>2</v>
      </c>
      <c r="C136" s="838" t="s">
        <v>54</v>
      </c>
      <c r="D136" s="179">
        <f>SUM(D137,D140)</f>
        <v>2391.7600000000002</v>
      </c>
      <c r="E136" s="179">
        <f>SUM(E137,E140)</f>
        <v>2656.21</v>
      </c>
      <c r="F136" s="179">
        <f>SUM(F137,F140)</f>
        <v>2656.21</v>
      </c>
      <c r="G136" s="179">
        <f>SUM(G137,G140)</f>
        <v>2656.21</v>
      </c>
      <c r="H136" s="180">
        <f t="shared" ref="H136:U136" si="72">H137+H140</f>
        <v>2088.1799999999998</v>
      </c>
      <c r="I136" s="180">
        <f t="shared" si="72"/>
        <v>1632.23</v>
      </c>
      <c r="J136" s="180">
        <f t="shared" si="72"/>
        <v>226.17</v>
      </c>
      <c r="K136" s="180">
        <f t="shared" si="72"/>
        <v>1406.06</v>
      </c>
      <c r="L136" s="180">
        <f t="shared" si="72"/>
        <v>221.3508333333333</v>
      </c>
      <c r="M136" s="180">
        <f t="shared" si="72"/>
        <v>295.68180999999998</v>
      </c>
      <c r="N136" s="180">
        <f t="shared" si="72"/>
        <v>154.01999999999998</v>
      </c>
      <c r="O136" s="180">
        <v>148.74</v>
      </c>
      <c r="P136" s="180">
        <f>P137+P140</f>
        <v>20</v>
      </c>
      <c r="Q136" s="180">
        <v>19.36</v>
      </c>
      <c r="R136" s="180">
        <v>136.01</v>
      </c>
      <c r="S136" s="180">
        <v>85.66</v>
      </c>
      <c r="T136" s="180">
        <f t="shared" si="72"/>
        <v>117.17166666666665</v>
      </c>
      <c r="U136" s="180">
        <f t="shared" si="72"/>
        <v>111.70500000000001</v>
      </c>
      <c r="V136" s="180">
        <v>7.34</v>
      </c>
      <c r="W136" s="180"/>
      <c r="X136" s="181">
        <f t="shared" ref="X136:X143" si="73">O136-N136</f>
        <v>-5.2799999999999727</v>
      </c>
      <c r="Y136" s="191">
        <f t="shared" ref="Y136:Y143" si="74">O136/N136</f>
        <v>0.9657187378262565</v>
      </c>
      <c r="Z136" s="180">
        <f t="shared" ref="Z136:AH136" si="75">Z137+Z140</f>
        <v>310.02999999999997</v>
      </c>
      <c r="AA136" s="180">
        <f t="shared" si="75"/>
        <v>325.09399999999999</v>
      </c>
      <c r="AB136" s="180">
        <f t="shared" si="75"/>
        <v>174.02</v>
      </c>
      <c r="AC136" s="180">
        <f t="shared" si="75"/>
        <v>0</v>
      </c>
      <c r="AD136" s="180">
        <f t="shared" si="75"/>
        <v>18.850000000000001</v>
      </c>
      <c r="AE136" s="180">
        <f t="shared" si="75"/>
        <v>0</v>
      </c>
      <c r="AF136" s="180">
        <f t="shared" si="75"/>
        <v>117.17</v>
      </c>
      <c r="AG136" s="180">
        <f t="shared" si="75"/>
        <v>0</v>
      </c>
      <c r="AH136" s="180">
        <f t="shared" si="75"/>
        <v>0</v>
      </c>
      <c r="AI136" s="180"/>
      <c r="AJ136" s="181">
        <f t="shared" ref="AJ136:AJ143" si="76">AC136-AB136</f>
        <v>-174.02</v>
      </c>
      <c r="AK136" s="192">
        <f t="shared" ref="AK136:AK143" si="77">AC136/AB136</f>
        <v>0</v>
      </c>
      <c r="AL136" s="180">
        <f t="shared" ref="AL136:AT136" si="78">AL137+AL140</f>
        <v>310.02999999999997</v>
      </c>
      <c r="AM136" s="180">
        <f t="shared" si="78"/>
        <v>325.09399999999999</v>
      </c>
      <c r="AN136" s="180">
        <f t="shared" si="78"/>
        <v>174.02</v>
      </c>
      <c r="AO136" s="180">
        <f t="shared" si="78"/>
        <v>0</v>
      </c>
      <c r="AP136" s="180">
        <f t="shared" si="78"/>
        <v>18.850000000000001</v>
      </c>
      <c r="AQ136" s="180">
        <f t="shared" si="78"/>
        <v>0</v>
      </c>
      <c r="AR136" s="180">
        <f t="shared" si="78"/>
        <v>117.17</v>
      </c>
      <c r="AS136" s="180">
        <f t="shared" si="78"/>
        <v>0</v>
      </c>
      <c r="AT136" s="180">
        <f t="shared" si="78"/>
        <v>0</v>
      </c>
      <c r="AU136" s="180"/>
      <c r="AV136" s="181">
        <f t="shared" ref="AV136:AV143" si="79">AO136-AN136</f>
        <v>-174.02</v>
      </c>
      <c r="AW136" s="192">
        <f t="shared" ref="AW136:AW143" si="80">AO136/AN136</f>
        <v>0</v>
      </c>
      <c r="AX136" s="179">
        <f>G136/2</f>
        <v>1328.105</v>
      </c>
      <c r="AY136" s="179">
        <f t="shared" ref="AY136:BG136" si="81">AY137+AY140</f>
        <v>2636.07</v>
      </c>
      <c r="AZ136" s="184">
        <f>AZ137+AZ140</f>
        <v>0</v>
      </c>
      <c r="BA136" s="185">
        <f>BA137+BA140</f>
        <v>1080.83</v>
      </c>
      <c r="BB136" s="185">
        <f t="shared" si="81"/>
        <v>0</v>
      </c>
      <c r="BC136" s="185">
        <f t="shared" si="81"/>
        <v>943.95999999999992</v>
      </c>
      <c r="BD136" s="185">
        <f t="shared" si="81"/>
        <v>0</v>
      </c>
      <c r="BE136" s="186">
        <f t="shared" si="81"/>
        <v>233.43</v>
      </c>
      <c r="BF136" s="184">
        <f>BF137+BF140</f>
        <v>174.54327000000001</v>
      </c>
      <c r="BG136" s="185">
        <f t="shared" si="81"/>
        <v>153.82760999999999</v>
      </c>
      <c r="BH136" s="185"/>
      <c r="BI136" s="186"/>
      <c r="BJ136" s="426">
        <f t="shared" si="70"/>
        <v>1080.83</v>
      </c>
      <c r="BK136" s="481" t="e">
        <f t="shared" si="71"/>
        <v>#DIV/0!</v>
      </c>
      <c r="BL136" s="468"/>
      <c r="BM136" s="469">
        <f>BM137+BM140</f>
        <v>324.36581000000001</v>
      </c>
      <c r="BN136" s="264"/>
      <c r="BO136" s="470"/>
      <c r="BP136" s="471"/>
      <c r="BQ136" s="469"/>
      <c r="BR136" s="472"/>
      <c r="BS136" s="473"/>
      <c r="BT136" s="471"/>
      <c r="BU136" s="469"/>
      <c r="BV136" s="472"/>
      <c r="BW136" s="473"/>
      <c r="BX136" s="474">
        <v>2674.02</v>
      </c>
      <c r="BY136" s="475">
        <f>F136</f>
        <v>2656.21</v>
      </c>
      <c r="BZ136" s="320">
        <f>M136+BM136+BQ136+BU136</f>
        <v>620.04762000000005</v>
      </c>
      <c r="CA136" s="469">
        <f>BZ136-BY136</f>
        <v>-2036.16238</v>
      </c>
      <c r="CB136" s="476">
        <f>BZ136/BY136</f>
        <v>0.23343320746477125</v>
      </c>
      <c r="CC136" s="307">
        <f>BZ136-E136</f>
        <v>-2036.16238</v>
      </c>
      <c r="CD136" s="477">
        <f>CD137+CD140</f>
        <v>431.36761999999999</v>
      </c>
      <c r="CE136" s="185">
        <f>CE137+CE140</f>
        <v>188.68</v>
      </c>
      <c r="CF136" s="478"/>
      <c r="CG136" s="465"/>
      <c r="CH136" s="465"/>
      <c r="CI136" s="465"/>
      <c r="CJ136" s="465"/>
      <c r="CK136" s="465"/>
      <c r="CL136" s="465"/>
      <c r="CM136" s="466"/>
      <c r="CN136" s="466"/>
      <c r="CO136" s="466"/>
      <c r="CP136" s="466"/>
      <c r="CQ136" s="466"/>
      <c r="CR136" s="466"/>
      <c r="CS136" s="466"/>
      <c r="CT136" s="466"/>
      <c r="CU136" s="466"/>
      <c r="CV136" s="466"/>
      <c r="CW136" s="466"/>
      <c r="CX136" s="466"/>
      <c r="CY136" s="466"/>
      <c r="CZ136" s="466"/>
      <c r="DA136" s="179">
        <f>DA137+DA140</f>
        <v>2656.2119699999998</v>
      </c>
      <c r="DB136" s="179">
        <f>DB137+DB140</f>
        <v>2656.2119699999998</v>
      </c>
      <c r="DC136" s="179">
        <f>SUM(DC137,DC140)</f>
        <v>2656.21</v>
      </c>
      <c r="DD136" s="179">
        <f>SUM(DD137,DD140)</f>
        <v>2656.21</v>
      </c>
      <c r="DE136" s="179">
        <f>SUM(DE137,DE140)</f>
        <v>2656.2119699999998</v>
      </c>
      <c r="DF136" s="179">
        <f>SUM(DF137,DF140)</f>
        <v>1328.1059849999999</v>
      </c>
      <c r="DG136" s="179">
        <f>SUM(DG137,DG140)</f>
        <v>1328.1059849999999</v>
      </c>
      <c r="DI136" s="826"/>
      <c r="DJ136" s="788"/>
    </row>
    <row r="137" spans="1:114" s="783" customFormat="1">
      <c r="A137" s="177"/>
      <c r="B137" s="187" t="s">
        <v>3</v>
      </c>
      <c r="C137" s="837" t="s">
        <v>54</v>
      </c>
      <c r="D137" s="31">
        <v>1988.16</v>
      </c>
      <c r="E137" s="31">
        <v>2207.9899999999998</v>
      </c>
      <c r="F137" s="31">
        <v>2207.9899999999998</v>
      </c>
      <c r="G137" s="31">
        <v>2207.9899999999998</v>
      </c>
      <c r="H137" s="134">
        <v>1736.59</v>
      </c>
      <c r="I137" s="134">
        <v>1356.8</v>
      </c>
      <c r="J137" s="134">
        <v>188.01</v>
      </c>
      <c r="K137" s="134">
        <v>1168.79</v>
      </c>
      <c r="L137" s="134">
        <f>G137/12</f>
        <v>183.99916666666664</v>
      </c>
      <c r="M137" s="134">
        <v>245.86006</v>
      </c>
      <c r="N137" s="134">
        <v>128.07</v>
      </c>
      <c r="O137" s="134">
        <f>M137*62/100</f>
        <v>152.43323720000001</v>
      </c>
      <c r="P137" s="134">
        <v>16.649999999999999</v>
      </c>
      <c r="Q137" s="134">
        <v>16.100000000000001</v>
      </c>
      <c r="R137" s="134">
        <v>113.07</v>
      </c>
      <c r="S137" s="134">
        <v>71.22</v>
      </c>
      <c r="T137" s="134">
        <f>K137/12</f>
        <v>97.399166666666659</v>
      </c>
      <c r="U137" s="134">
        <v>92.885000000000005</v>
      </c>
      <c r="V137" s="134">
        <v>6.11</v>
      </c>
      <c r="W137" s="134"/>
      <c r="X137" s="51">
        <f t="shared" si="73"/>
        <v>24.363237200000015</v>
      </c>
      <c r="Y137" s="55">
        <f t="shared" si="74"/>
        <v>1.1902337565393926</v>
      </c>
      <c r="Z137" s="134">
        <v>257.77999999999997</v>
      </c>
      <c r="AA137" s="134">
        <v>270.43</v>
      </c>
      <c r="AB137" s="134">
        <v>144.72</v>
      </c>
      <c r="AC137" s="134"/>
      <c r="AD137" s="134">
        <v>15.67</v>
      </c>
      <c r="AE137" s="134"/>
      <c r="AF137" s="134">
        <v>97.4</v>
      </c>
      <c r="AG137" s="134"/>
      <c r="AH137" s="134"/>
      <c r="AI137" s="134"/>
      <c r="AJ137" s="51">
        <f t="shared" si="76"/>
        <v>-144.72</v>
      </c>
      <c r="AK137" s="56">
        <f t="shared" si="77"/>
        <v>0</v>
      </c>
      <c r="AL137" s="134">
        <v>257.77999999999997</v>
      </c>
      <c r="AM137" s="134">
        <v>270.43</v>
      </c>
      <c r="AN137" s="134">
        <v>144.72</v>
      </c>
      <c r="AO137" s="134"/>
      <c r="AP137" s="134">
        <v>15.67</v>
      </c>
      <c r="AQ137" s="134"/>
      <c r="AR137" s="134">
        <v>97.4</v>
      </c>
      <c r="AS137" s="134"/>
      <c r="AT137" s="134"/>
      <c r="AU137" s="134"/>
      <c r="AV137" s="51">
        <f t="shared" si="79"/>
        <v>-144.72</v>
      </c>
      <c r="AW137" s="56">
        <f t="shared" si="80"/>
        <v>0</v>
      </c>
      <c r="AX137" s="31">
        <f>G137/2</f>
        <v>1103.9949999999999</v>
      </c>
      <c r="AY137" s="31">
        <v>2191.25</v>
      </c>
      <c r="AZ137" s="109"/>
      <c r="BA137" s="62">
        <v>898.89</v>
      </c>
      <c r="BB137" s="62"/>
      <c r="BC137" s="62">
        <v>784.67</v>
      </c>
      <c r="BD137" s="62"/>
      <c r="BE137" s="110">
        <v>194.04</v>
      </c>
      <c r="BF137" s="109">
        <v>145.09</v>
      </c>
      <c r="BG137" s="62">
        <v>127.87</v>
      </c>
      <c r="BH137" s="62"/>
      <c r="BI137" s="110"/>
      <c r="BJ137" s="426">
        <f t="shared" si="70"/>
        <v>898.89</v>
      </c>
      <c r="BK137" s="46" t="e">
        <f t="shared" si="71"/>
        <v>#DIV/0!</v>
      </c>
      <c r="BL137" s="428"/>
      <c r="BM137" s="61">
        <v>270.4255</v>
      </c>
      <c r="BN137" s="62"/>
      <c r="BO137" s="470"/>
      <c r="BP137" s="64"/>
      <c r="BQ137" s="61"/>
      <c r="BR137" s="65"/>
      <c r="BS137" s="66"/>
      <c r="BT137" s="64"/>
      <c r="BU137" s="61"/>
      <c r="BV137" s="479"/>
      <c r="BW137" s="66"/>
      <c r="BX137" s="431"/>
      <c r="BY137" s="68">
        <f>F137</f>
        <v>2207.9899999999998</v>
      </c>
      <c r="BZ137" s="69">
        <f>M137+BM137+BQ137+BU137</f>
        <v>516.28556000000003</v>
      </c>
      <c r="CA137" s="61">
        <f>BZ137-BY137</f>
        <v>-1691.7044399999997</v>
      </c>
      <c r="CB137" s="71">
        <f>BZ137/BY137</f>
        <v>0.23382604087880837</v>
      </c>
      <c r="CC137" s="72">
        <f>BZ137-E137</f>
        <v>-1691.7044399999997</v>
      </c>
      <c r="CD137" s="434">
        <f>BZ137-CE137</f>
        <v>359.44556</v>
      </c>
      <c r="CE137" s="62">
        <v>156.84</v>
      </c>
      <c r="CF137" s="73"/>
      <c r="CG137" s="74"/>
      <c r="CH137" s="74"/>
      <c r="CI137" s="74"/>
      <c r="CJ137" s="74"/>
      <c r="CK137" s="74"/>
      <c r="CL137" s="74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31">
        <v>2207.9899999999998</v>
      </c>
      <c r="DB137" s="31">
        <v>2207.9899999999998</v>
      </c>
      <c r="DC137" s="31">
        <v>2207.9899999999998</v>
      </c>
      <c r="DD137" s="31">
        <v>2207.9899999999998</v>
      </c>
      <c r="DE137" s="31">
        <v>2207.9899999999998</v>
      </c>
      <c r="DF137" s="31">
        <f>DE137/2</f>
        <v>1103.9949999999999</v>
      </c>
      <c r="DG137" s="134">
        <f>DF137</f>
        <v>1103.9949999999999</v>
      </c>
      <c r="DI137" s="826"/>
      <c r="DJ137" s="788"/>
    </row>
    <row r="138" spans="1:114" s="783" customFormat="1">
      <c r="A138" s="177"/>
      <c r="B138" s="212" t="s">
        <v>38</v>
      </c>
      <c r="C138" s="839" t="s">
        <v>82</v>
      </c>
      <c r="D138" s="214">
        <v>11</v>
      </c>
      <c r="E138" s="214">
        <v>11</v>
      </c>
      <c r="F138" s="214">
        <v>11</v>
      </c>
      <c r="G138" s="214">
        <v>11</v>
      </c>
      <c r="H138" s="215">
        <v>8</v>
      </c>
      <c r="I138" s="215">
        <v>7</v>
      </c>
      <c r="J138" s="215">
        <v>2</v>
      </c>
      <c r="K138" s="215">
        <v>5</v>
      </c>
      <c r="L138" s="215">
        <v>15</v>
      </c>
      <c r="M138" s="134">
        <v>15</v>
      </c>
      <c r="N138" s="134">
        <v>8</v>
      </c>
      <c r="O138" s="134">
        <v>7.5</v>
      </c>
      <c r="P138" s="134"/>
      <c r="Q138" s="134"/>
      <c r="R138" s="134">
        <v>2</v>
      </c>
      <c r="S138" s="134">
        <v>1</v>
      </c>
      <c r="T138" s="134">
        <v>5</v>
      </c>
      <c r="U138" s="134">
        <v>5</v>
      </c>
      <c r="V138" s="134"/>
      <c r="W138" s="134"/>
      <c r="X138" s="51">
        <f t="shared" si="73"/>
        <v>-0.5</v>
      </c>
      <c r="Y138" s="55">
        <f t="shared" si="74"/>
        <v>0.9375</v>
      </c>
      <c r="Z138" s="215">
        <v>15</v>
      </c>
      <c r="AA138" s="134">
        <v>14.5</v>
      </c>
      <c r="AB138" s="134">
        <v>8</v>
      </c>
      <c r="AC138" s="134"/>
      <c r="AD138" s="134">
        <v>2</v>
      </c>
      <c r="AE138" s="134"/>
      <c r="AF138" s="134">
        <v>5</v>
      </c>
      <c r="AG138" s="134"/>
      <c r="AH138" s="134"/>
      <c r="AI138" s="134"/>
      <c r="AJ138" s="51">
        <f t="shared" si="76"/>
        <v>-8</v>
      </c>
      <c r="AK138" s="56">
        <f t="shared" si="77"/>
        <v>0</v>
      </c>
      <c r="AL138" s="215">
        <v>15</v>
      </c>
      <c r="AM138" s="134">
        <v>14.5</v>
      </c>
      <c r="AN138" s="134">
        <v>8</v>
      </c>
      <c r="AO138" s="134"/>
      <c r="AP138" s="134">
        <v>2</v>
      </c>
      <c r="AQ138" s="134"/>
      <c r="AR138" s="134">
        <v>5</v>
      </c>
      <c r="AS138" s="134"/>
      <c r="AT138" s="134"/>
      <c r="AU138" s="134"/>
      <c r="AV138" s="51">
        <f t="shared" si="79"/>
        <v>-8</v>
      </c>
      <c r="AW138" s="56">
        <f t="shared" si="80"/>
        <v>0</v>
      </c>
      <c r="AX138" s="31">
        <v>15</v>
      </c>
      <c r="AY138" s="31">
        <v>10</v>
      </c>
      <c r="AZ138" s="109"/>
      <c r="BA138" s="62"/>
      <c r="BB138" s="62"/>
      <c r="BC138" s="62"/>
      <c r="BD138" s="62"/>
      <c r="BE138" s="110"/>
      <c r="BF138" s="109"/>
      <c r="BG138" s="62"/>
      <c r="BH138" s="62"/>
      <c r="BI138" s="110"/>
      <c r="BJ138" s="426">
        <f t="shared" si="70"/>
        <v>0</v>
      </c>
      <c r="BK138" s="46" t="e">
        <f t="shared" si="71"/>
        <v>#DIV/0!</v>
      </c>
      <c r="BL138" s="520"/>
      <c r="BM138" s="61">
        <v>14.5</v>
      </c>
      <c r="BN138" s="62"/>
      <c r="BO138" s="470"/>
      <c r="BP138" s="64"/>
      <c r="BQ138" s="61"/>
      <c r="BR138" s="521"/>
      <c r="BS138" s="66"/>
      <c r="BT138" s="64"/>
      <c r="BU138" s="61"/>
      <c r="BV138" s="479"/>
      <c r="BW138" s="66"/>
      <c r="BX138" s="522">
        <v>16</v>
      </c>
      <c r="BY138" s="68">
        <f>F138</f>
        <v>11</v>
      </c>
      <c r="BZ138" s="69">
        <f>(M138+BM138+BQ138+BU138)/4</f>
        <v>7.375</v>
      </c>
      <c r="CA138" s="61">
        <f>BZ138-BY138</f>
        <v>-3.625</v>
      </c>
      <c r="CB138" s="71">
        <f>BZ138/BY138</f>
        <v>0.67045454545454541</v>
      </c>
      <c r="CC138" s="72">
        <f>BZ138-E138</f>
        <v>-3.625</v>
      </c>
      <c r="CD138" s="523">
        <v>10</v>
      </c>
      <c r="CE138" s="524">
        <v>1.5</v>
      </c>
      <c r="CF138" s="73"/>
      <c r="CG138" s="525"/>
      <c r="CH138" s="525"/>
      <c r="CI138" s="525"/>
      <c r="CJ138" s="525"/>
      <c r="CK138" s="525"/>
      <c r="CL138" s="525"/>
      <c r="CM138" s="526"/>
      <c r="CN138" s="526"/>
      <c r="CO138" s="526"/>
      <c r="CP138" s="526"/>
      <c r="CQ138" s="526"/>
      <c r="CR138" s="526"/>
      <c r="CS138" s="526"/>
      <c r="CT138" s="526"/>
      <c r="CU138" s="526"/>
      <c r="CV138" s="526"/>
      <c r="CW138" s="526"/>
      <c r="CX138" s="526"/>
      <c r="CY138" s="526"/>
      <c r="CZ138" s="526"/>
      <c r="DA138" s="31">
        <v>11</v>
      </c>
      <c r="DB138" s="31">
        <v>11</v>
      </c>
      <c r="DC138" s="214">
        <v>11</v>
      </c>
      <c r="DD138" s="214">
        <v>11</v>
      </c>
      <c r="DE138" s="214">
        <v>11</v>
      </c>
      <c r="DF138" s="214">
        <v>11</v>
      </c>
      <c r="DG138" s="215">
        <v>11</v>
      </c>
      <c r="DI138" s="826"/>
      <c r="DJ138" s="788"/>
    </row>
    <row r="139" spans="1:114" s="783" customFormat="1">
      <c r="A139" s="177"/>
      <c r="B139" s="190" t="s">
        <v>39</v>
      </c>
      <c r="C139" s="839" t="s">
        <v>83</v>
      </c>
      <c r="D139" s="31">
        <f t="shared" ref="D139:K139" si="82">D137/D138/12*1000</f>
        <v>15061.818181818182</v>
      </c>
      <c r="E139" s="31">
        <f t="shared" si="82"/>
        <v>16727.196969696968</v>
      </c>
      <c r="F139" s="31">
        <f t="shared" si="82"/>
        <v>16727.196969696968</v>
      </c>
      <c r="G139" s="31">
        <f t="shared" si="82"/>
        <v>16727.196969696968</v>
      </c>
      <c r="H139" s="134">
        <f t="shared" si="82"/>
        <v>18089.479166666668</v>
      </c>
      <c r="I139" s="134">
        <f t="shared" si="82"/>
        <v>16152.380952380952</v>
      </c>
      <c r="J139" s="134">
        <f t="shared" si="82"/>
        <v>7833.7499999999991</v>
      </c>
      <c r="K139" s="134">
        <f t="shared" si="82"/>
        <v>19479.833333333332</v>
      </c>
      <c r="L139" s="134">
        <f t="shared" ref="L139:U139" si="83">L137/L138*1000</f>
        <v>12266.611111111109</v>
      </c>
      <c r="M139" s="134">
        <f t="shared" si="83"/>
        <v>16390.670666666669</v>
      </c>
      <c r="N139" s="134">
        <f t="shared" si="83"/>
        <v>16008.75</v>
      </c>
      <c r="O139" s="134">
        <f t="shared" si="83"/>
        <v>20324.431626666668</v>
      </c>
      <c r="P139" s="134"/>
      <c r="Q139" s="134"/>
      <c r="R139" s="134">
        <f t="shared" si="83"/>
        <v>56535</v>
      </c>
      <c r="S139" s="134">
        <f t="shared" si="83"/>
        <v>71220</v>
      </c>
      <c r="T139" s="134">
        <f t="shared" si="83"/>
        <v>19479.833333333332</v>
      </c>
      <c r="U139" s="134">
        <f t="shared" si="83"/>
        <v>18577</v>
      </c>
      <c r="V139" s="134"/>
      <c r="W139" s="134"/>
      <c r="X139" s="51">
        <f t="shared" si="73"/>
        <v>4315.6816266666683</v>
      </c>
      <c r="Y139" s="55">
        <f t="shared" si="74"/>
        <v>1.2695826736420188</v>
      </c>
      <c r="Z139" s="134">
        <f t="shared" ref="Z139:AG139" si="84">Z137/Z138*1000</f>
        <v>17185.333333333332</v>
      </c>
      <c r="AA139" s="134">
        <f t="shared" si="84"/>
        <v>18650.344827586207</v>
      </c>
      <c r="AB139" s="134">
        <f t="shared" si="84"/>
        <v>18090</v>
      </c>
      <c r="AC139" s="134" t="e">
        <f t="shared" si="84"/>
        <v>#DIV/0!</v>
      </c>
      <c r="AD139" s="134">
        <f t="shared" si="84"/>
        <v>7835</v>
      </c>
      <c r="AE139" s="134" t="e">
        <f t="shared" si="84"/>
        <v>#DIV/0!</v>
      </c>
      <c r="AF139" s="134">
        <f t="shared" si="84"/>
        <v>19480</v>
      </c>
      <c r="AG139" s="134" t="e">
        <f t="shared" si="84"/>
        <v>#DIV/0!</v>
      </c>
      <c r="AH139" s="134"/>
      <c r="AI139" s="134"/>
      <c r="AJ139" s="51" t="e">
        <f t="shared" si="76"/>
        <v>#DIV/0!</v>
      </c>
      <c r="AK139" s="56" t="e">
        <f t="shared" si="77"/>
        <v>#DIV/0!</v>
      </c>
      <c r="AL139" s="134">
        <f t="shared" ref="AL139:AS139" si="85">AL137/AL138*1000</f>
        <v>17185.333333333332</v>
      </c>
      <c r="AM139" s="134">
        <f t="shared" si="85"/>
        <v>18650.344827586207</v>
      </c>
      <c r="AN139" s="134">
        <f t="shared" si="85"/>
        <v>18090</v>
      </c>
      <c r="AO139" s="134" t="e">
        <f t="shared" si="85"/>
        <v>#DIV/0!</v>
      </c>
      <c r="AP139" s="134">
        <f t="shared" si="85"/>
        <v>7835</v>
      </c>
      <c r="AQ139" s="134" t="e">
        <f t="shared" si="85"/>
        <v>#DIV/0!</v>
      </c>
      <c r="AR139" s="134">
        <f t="shared" si="85"/>
        <v>19480</v>
      </c>
      <c r="AS139" s="134" t="e">
        <f t="shared" si="85"/>
        <v>#DIV/0!</v>
      </c>
      <c r="AT139" s="134"/>
      <c r="AU139" s="134"/>
      <c r="AV139" s="51" t="e">
        <f t="shared" si="79"/>
        <v>#DIV/0!</v>
      </c>
      <c r="AW139" s="56" t="e">
        <f t="shared" si="80"/>
        <v>#DIV/0!</v>
      </c>
      <c r="AX139" s="31">
        <f>AX137/AX138/6*1000</f>
        <v>12266.611111111111</v>
      </c>
      <c r="AY139" s="31">
        <f>AY137/AY138/12*1000</f>
        <v>18260.416666666668</v>
      </c>
      <c r="AZ139" s="109" t="e">
        <f>AZ137/AZ138/3*1000</f>
        <v>#DIV/0!</v>
      </c>
      <c r="BA139" s="62"/>
      <c r="BB139" s="62"/>
      <c r="BC139" s="62"/>
      <c r="BD139" s="62"/>
      <c r="BE139" s="110"/>
      <c r="BF139" s="109"/>
      <c r="BG139" s="62"/>
      <c r="BH139" s="62"/>
      <c r="BI139" s="110"/>
      <c r="BJ139" s="426" t="e">
        <f t="shared" si="70"/>
        <v>#DIV/0!</v>
      </c>
      <c r="BK139" s="46" t="e">
        <f t="shared" si="71"/>
        <v>#DIV/0!</v>
      </c>
      <c r="BL139" s="520"/>
      <c r="BM139" s="61">
        <f>BM137/BM138*1000</f>
        <v>18650.03448275862</v>
      </c>
      <c r="BN139" s="62"/>
      <c r="BO139" s="470"/>
      <c r="BP139" s="64"/>
      <c r="BQ139" s="61"/>
      <c r="BR139" s="521"/>
      <c r="BS139" s="66"/>
      <c r="BT139" s="64"/>
      <c r="BU139" s="61"/>
      <c r="BV139" s="479"/>
      <c r="BW139" s="66"/>
      <c r="BX139" s="522"/>
      <c r="BY139" s="68"/>
      <c r="BZ139" s="69"/>
      <c r="CA139" s="61"/>
      <c r="CB139" s="71"/>
      <c r="CC139" s="72"/>
      <c r="CD139" s="523"/>
      <c r="CE139" s="524"/>
      <c r="CF139" s="73"/>
      <c r="CG139" s="525"/>
      <c r="CH139" s="525"/>
      <c r="CI139" s="525"/>
      <c r="CJ139" s="525"/>
      <c r="CK139" s="525"/>
      <c r="CL139" s="525"/>
      <c r="CM139" s="526"/>
      <c r="CN139" s="526"/>
      <c r="CO139" s="526"/>
      <c r="CP139" s="526"/>
      <c r="CQ139" s="526"/>
      <c r="CR139" s="526"/>
      <c r="CS139" s="526"/>
      <c r="CT139" s="526"/>
      <c r="CU139" s="526"/>
      <c r="CV139" s="526"/>
      <c r="CW139" s="526"/>
      <c r="CX139" s="526"/>
      <c r="CY139" s="526"/>
      <c r="CZ139" s="526"/>
      <c r="DA139" s="31">
        <f>DA137/DA138/12*1000</f>
        <v>16727.196969696968</v>
      </c>
      <c r="DB139" s="31">
        <f>DB137/DB138/12*1000</f>
        <v>16727.196969696968</v>
      </c>
      <c r="DC139" s="31">
        <f>DC137/DC138/12*1000</f>
        <v>16727.196969696968</v>
      </c>
      <c r="DD139" s="31">
        <f>DD137/DD138/12*1000</f>
        <v>16727.196969696968</v>
      </c>
      <c r="DE139" s="31">
        <f>DE137/DE138/12*1000</f>
        <v>16727.196969696968</v>
      </c>
      <c r="DF139" s="31">
        <f>DF137/DF138/6*1000</f>
        <v>16727.196969696968</v>
      </c>
      <c r="DG139" s="31">
        <f>DG137/DG138/6*1000</f>
        <v>16727.196969696968</v>
      </c>
      <c r="DI139" s="826"/>
      <c r="DJ139" s="788"/>
    </row>
    <row r="140" spans="1:114" s="783" customFormat="1" ht="12" customHeight="1">
      <c r="A140" s="177"/>
      <c r="B140" s="187" t="s">
        <v>92</v>
      </c>
      <c r="C140" s="837" t="s">
        <v>54</v>
      </c>
      <c r="D140" s="31">
        <v>403.6</v>
      </c>
      <c r="E140" s="31">
        <v>448.22</v>
      </c>
      <c r="F140" s="31">
        <v>448.22</v>
      </c>
      <c r="G140" s="31">
        <v>448.22</v>
      </c>
      <c r="H140" s="134">
        <v>351.59</v>
      </c>
      <c r="I140" s="134">
        <v>275.43</v>
      </c>
      <c r="J140" s="134">
        <v>38.159999999999997</v>
      </c>
      <c r="K140" s="134">
        <v>237.27</v>
      </c>
      <c r="L140" s="134">
        <f>G140/12</f>
        <v>37.351666666666667</v>
      </c>
      <c r="M140" s="134">
        <v>49.821750000000002</v>
      </c>
      <c r="N140" s="134">
        <v>25.95</v>
      </c>
      <c r="O140" s="134">
        <v>30.89</v>
      </c>
      <c r="P140" s="134">
        <v>3.35</v>
      </c>
      <c r="Q140" s="134">
        <v>3.26</v>
      </c>
      <c r="R140" s="134">
        <v>22.95</v>
      </c>
      <c r="S140" s="134">
        <v>14.43</v>
      </c>
      <c r="T140" s="134">
        <f>K140/12</f>
        <v>19.772500000000001</v>
      </c>
      <c r="U140" s="134">
        <v>18.82</v>
      </c>
      <c r="V140" s="134">
        <v>1.24</v>
      </c>
      <c r="W140" s="134"/>
      <c r="X140" s="51">
        <f t="shared" si="73"/>
        <v>4.9400000000000013</v>
      </c>
      <c r="Y140" s="55">
        <f t="shared" si="74"/>
        <v>1.1903660886319847</v>
      </c>
      <c r="Z140" s="134">
        <v>52.25</v>
      </c>
      <c r="AA140" s="134">
        <v>54.664000000000001</v>
      </c>
      <c r="AB140" s="134">
        <v>29.3</v>
      </c>
      <c r="AC140" s="134"/>
      <c r="AD140" s="134">
        <v>3.18</v>
      </c>
      <c r="AE140" s="134"/>
      <c r="AF140" s="134">
        <v>19.77</v>
      </c>
      <c r="AG140" s="134"/>
      <c r="AH140" s="134"/>
      <c r="AI140" s="134"/>
      <c r="AJ140" s="51">
        <f t="shared" si="76"/>
        <v>-29.3</v>
      </c>
      <c r="AK140" s="56">
        <f t="shared" si="77"/>
        <v>0</v>
      </c>
      <c r="AL140" s="134">
        <v>52.25</v>
      </c>
      <c r="AM140" s="134">
        <v>54.664000000000001</v>
      </c>
      <c r="AN140" s="134">
        <v>29.3</v>
      </c>
      <c r="AO140" s="134"/>
      <c r="AP140" s="134">
        <v>3.18</v>
      </c>
      <c r="AQ140" s="134"/>
      <c r="AR140" s="134">
        <v>19.77</v>
      </c>
      <c r="AS140" s="134"/>
      <c r="AT140" s="134"/>
      <c r="AU140" s="134"/>
      <c r="AV140" s="51">
        <f t="shared" si="79"/>
        <v>-29.3</v>
      </c>
      <c r="AW140" s="56">
        <f t="shared" si="80"/>
        <v>0</v>
      </c>
      <c r="AX140" s="31">
        <f>G140/2</f>
        <v>224.11</v>
      </c>
      <c r="AY140" s="31">
        <v>444.82</v>
      </c>
      <c r="AZ140" s="109"/>
      <c r="BA140" s="62">
        <v>181.94</v>
      </c>
      <c r="BB140" s="62">
        <f t="shared" ref="BB140:BG140" si="86">BB137*20.3/100</f>
        <v>0</v>
      </c>
      <c r="BC140" s="62">
        <v>159.29</v>
      </c>
      <c r="BD140" s="62">
        <f t="shared" si="86"/>
        <v>0</v>
      </c>
      <c r="BE140" s="110">
        <v>39.39</v>
      </c>
      <c r="BF140" s="109">
        <f t="shared" si="86"/>
        <v>29.453270000000003</v>
      </c>
      <c r="BG140" s="62">
        <f t="shared" si="86"/>
        <v>25.957609999999999</v>
      </c>
      <c r="BH140" s="62"/>
      <c r="BI140" s="110"/>
      <c r="BJ140" s="426">
        <f t="shared" si="70"/>
        <v>181.94</v>
      </c>
      <c r="BK140" s="46" t="e">
        <f t="shared" si="71"/>
        <v>#DIV/0!</v>
      </c>
      <c r="BL140" s="428"/>
      <c r="BM140" s="61">
        <v>53.940309999999997</v>
      </c>
      <c r="BN140" s="62"/>
      <c r="BO140" s="470"/>
      <c r="BP140" s="64"/>
      <c r="BQ140" s="61"/>
      <c r="BR140" s="65"/>
      <c r="BS140" s="66"/>
      <c r="BT140" s="64"/>
      <c r="BU140" s="61"/>
      <c r="BV140" s="479"/>
      <c r="BW140" s="66"/>
      <c r="BX140" s="431"/>
      <c r="BY140" s="68">
        <f>F140</f>
        <v>448.22</v>
      </c>
      <c r="BZ140" s="69">
        <f t="shared" ref="BZ140:BZ145" si="87">M140+BM140+BQ140+BU140</f>
        <v>103.76205999999999</v>
      </c>
      <c r="CA140" s="61">
        <f>BZ140-BY140</f>
        <v>-344.45794000000001</v>
      </c>
      <c r="CB140" s="71">
        <f>BZ140/BY140</f>
        <v>0.23149805898888934</v>
      </c>
      <c r="CC140" s="72">
        <f t="shared" ref="CC140:CC145" si="88">BZ140-E140</f>
        <v>-344.45794000000001</v>
      </c>
      <c r="CD140" s="434">
        <f>BZ140-CE140</f>
        <v>71.922059999999988</v>
      </c>
      <c r="CE140" s="62">
        <v>31.84</v>
      </c>
      <c r="CF140" s="73"/>
      <c r="CG140" s="74"/>
      <c r="CH140" s="74"/>
      <c r="CI140" s="74"/>
      <c r="CJ140" s="74"/>
      <c r="CK140" s="74"/>
      <c r="CL140" s="74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31">
        <f>DA137*20.3/100</f>
        <v>448.22197</v>
      </c>
      <c r="DB140" s="31">
        <f>DB137*20.3/100</f>
        <v>448.22197</v>
      </c>
      <c r="DC140" s="31">
        <v>448.22</v>
      </c>
      <c r="DD140" s="31">
        <v>448.22</v>
      </c>
      <c r="DE140" s="31">
        <f>DE137*20.3/100</f>
        <v>448.22197</v>
      </c>
      <c r="DF140" s="31">
        <f>DF137*20.3/100</f>
        <v>224.110985</v>
      </c>
      <c r="DG140" s="31">
        <f>DG137*20.3/100</f>
        <v>224.110985</v>
      </c>
      <c r="DI140" s="826"/>
      <c r="DJ140" s="788"/>
    </row>
    <row r="141" spans="1:114" s="783" customFormat="1" hidden="1">
      <c r="A141" s="177" t="s">
        <v>140</v>
      </c>
      <c r="B141" s="178" t="s">
        <v>2</v>
      </c>
      <c r="C141" s="837" t="s">
        <v>54</v>
      </c>
      <c r="D141" s="179"/>
      <c r="E141" s="179"/>
      <c r="F141" s="179"/>
      <c r="G141" s="179"/>
      <c r="H141" s="180">
        <f t="shared" ref="H141:N141" si="89">H142+H145</f>
        <v>1736.59</v>
      </c>
      <c r="I141" s="180">
        <f t="shared" si="89"/>
        <v>1356.8</v>
      </c>
      <c r="J141" s="180">
        <f t="shared" si="89"/>
        <v>188.01</v>
      </c>
      <c r="K141" s="180">
        <f t="shared" si="89"/>
        <v>1168.79</v>
      </c>
      <c r="L141" s="180">
        <f t="shared" si="89"/>
        <v>0</v>
      </c>
      <c r="M141" s="180">
        <f t="shared" si="89"/>
        <v>255.52006</v>
      </c>
      <c r="N141" s="180">
        <f t="shared" si="89"/>
        <v>128.07</v>
      </c>
      <c r="O141" s="180">
        <v>148.74</v>
      </c>
      <c r="P141" s="180">
        <f>P142+P145</f>
        <v>16.649999999999999</v>
      </c>
      <c r="Q141" s="180">
        <v>19.36</v>
      </c>
      <c r="R141" s="180">
        <v>136.01</v>
      </c>
      <c r="S141" s="180">
        <v>85.66</v>
      </c>
      <c r="T141" s="180">
        <f>T142+T145</f>
        <v>97.399166666666659</v>
      </c>
      <c r="U141" s="180">
        <f>U142+U145</f>
        <v>92.885000000000005</v>
      </c>
      <c r="V141" s="180">
        <v>7.34</v>
      </c>
      <c r="W141" s="180"/>
      <c r="X141" s="181">
        <f t="shared" si="73"/>
        <v>20.670000000000016</v>
      </c>
      <c r="Y141" s="191">
        <f t="shared" si="74"/>
        <v>1.1613961115015228</v>
      </c>
      <c r="Z141" s="180">
        <f t="shared" ref="Z141:AH141" si="90">Z142+Z145</f>
        <v>257.77999999999997</v>
      </c>
      <c r="AA141" s="180">
        <f t="shared" si="90"/>
        <v>274.3</v>
      </c>
      <c r="AB141" s="180">
        <f t="shared" si="90"/>
        <v>144.72</v>
      </c>
      <c r="AC141" s="180">
        <f t="shared" si="90"/>
        <v>0</v>
      </c>
      <c r="AD141" s="180">
        <f t="shared" si="90"/>
        <v>15.67</v>
      </c>
      <c r="AE141" s="180">
        <f t="shared" si="90"/>
        <v>0</v>
      </c>
      <c r="AF141" s="180">
        <f t="shared" si="90"/>
        <v>97.4</v>
      </c>
      <c r="AG141" s="180">
        <f t="shared" si="90"/>
        <v>0</v>
      </c>
      <c r="AH141" s="180">
        <f t="shared" si="90"/>
        <v>0</v>
      </c>
      <c r="AI141" s="180"/>
      <c r="AJ141" s="181">
        <f t="shared" si="76"/>
        <v>-144.72</v>
      </c>
      <c r="AK141" s="192">
        <f t="shared" si="77"/>
        <v>0</v>
      </c>
      <c r="AL141" s="180">
        <f t="shared" ref="AL141:AT141" si="91">AL142+AL145</f>
        <v>257.77999999999997</v>
      </c>
      <c r="AM141" s="180">
        <f t="shared" si="91"/>
        <v>274.3</v>
      </c>
      <c r="AN141" s="180">
        <f t="shared" si="91"/>
        <v>144.72</v>
      </c>
      <c r="AO141" s="180">
        <f t="shared" si="91"/>
        <v>0</v>
      </c>
      <c r="AP141" s="180">
        <f t="shared" si="91"/>
        <v>15.67</v>
      </c>
      <c r="AQ141" s="180">
        <f t="shared" si="91"/>
        <v>0</v>
      </c>
      <c r="AR141" s="180">
        <f t="shared" si="91"/>
        <v>97.4</v>
      </c>
      <c r="AS141" s="180">
        <f t="shared" si="91"/>
        <v>0</v>
      </c>
      <c r="AT141" s="180">
        <f t="shared" si="91"/>
        <v>0</v>
      </c>
      <c r="AU141" s="180"/>
      <c r="AV141" s="181">
        <f t="shared" si="79"/>
        <v>-144.72</v>
      </c>
      <c r="AW141" s="192">
        <f t="shared" si="80"/>
        <v>0</v>
      </c>
      <c r="AX141" s="179">
        <f>G141/2</f>
        <v>0</v>
      </c>
      <c r="AY141" s="179">
        <f>SUM(AY142:AY143)</f>
        <v>0</v>
      </c>
      <c r="AZ141" s="184">
        <f>AZ142+AZ145</f>
        <v>0</v>
      </c>
      <c r="BA141" s="185">
        <f>SUM(BA142:BA143)</f>
        <v>0</v>
      </c>
      <c r="BB141" s="185">
        <f t="shared" ref="BB141:BG141" si="92">SUM(BB142:BB143)</f>
        <v>0</v>
      </c>
      <c r="BC141" s="185">
        <f>SUM(BC142:BC143)</f>
        <v>0</v>
      </c>
      <c r="BD141" s="185">
        <f t="shared" si="92"/>
        <v>0</v>
      </c>
      <c r="BE141" s="186">
        <f>SUM(BE142:BE143)</f>
        <v>0</v>
      </c>
      <c r="BF141" s="184">
        <f t="shared" si="92"/>
        <v>0</v>
      </c>
      <c r="BG141" s="185">
        <f t="shared" si="92"/>
        <v>0</v>
      </c>
      <c r="BH141" s="185"/>
      <c r="BI141" s="186"/>
      <c r="BJ141" s="426">
        <f>BA141-AZ141</f>
        <v>0</v>
      </c>
      <c r="BK141" s="46" t="e">
        <f>BA141/AZ141</f>
        <v>#DIV/0!</v>
      </c>
      <c r="BL141" s="468"/>
      <c r="BM141" s="469">
        <f>BM142+BM145</f>
        <v>274.29950000000002</v>
      </c>
      <c r="BN141" s="264"/>
      <c r="BO141" s="470"/>
      <c r="BP141" s="471"/>
      <c r="BQ141" s="469"/>
      <c r="BR141" s="472"/>
      <c r="BS141" s="473"/>
      <c r="BT141" s="471"/>
      <c r="BU141" s="469"/>
      <c r="BV141" s="472"/>
      <c r="BW141" s="473"/>
      <c r="BX141" s="474">
        <v>2674.02</v>
      </c>
      <c r="BY141" s="475">
        <f>F141</f>
        <v>0</v>
      </c>
      <c r="BZ141" s="320">
        <f t="shared" si="87"/>
        <v>529.81956000000002</v>
      </c>
      <c r="CA141" s="469">
        <f>BZ141-BY141</f>
        <v>529.81956000000002</v>
      </c>
      <c r="CB141" s="476" t="e">
        <f>BZ141/BY141</f>
        <v>#DIV/0!</v>
      </c>
      <c r="CC141" s="72">
        <f t="shared" si="88"/>
        <v>529.81956000000002</v>
      </c>
      <c r="CD141" s="477">
        <f>CD142+CD145</f>
        <v>373.62556000000001</v>
      </c>
      <c r="CE141" s="185">
        <f>CE142+CE145</f>
        <v>156.84</v>
      </c>
      <c r="CF141" s="478"/>
      <c r="CG141" s="465"/>
      <c r="CH141" s="465"/>
      <c r="CI141" s="465"/>
      <c r="CJ141" s="465"/>
      <c r="CK141" s="465"/>
      <c r="CL141" s="465"/>
      <c r="CM141" s="466"/>
      <c r="CN141" s="466"/>
      <c r="CO141" s="466"/>
      <c r="CP141" s="466"/>
      <c r="CQ141" s="466"/>
      <c r="CR141" s="466"/>
      <c r="CS141" s="466"/>
      <c r="CT141" s="466"/>
      <c r="CU141" s="466"/>
      <c r="CV141" s="466"/>
      <c r="CW141" s="466"/>
      <c r="CX141" s="466"/>
      <c r="CY141" s="466"/>
      <c r="CZ141" s="466"/>
      <c r="DA141" s="179">
        <f>SUM(DA142:DA143)</f>
        <v>0</v>
      </c>
      <c r="DB141" s="179">
        <f>SUM(DB142:DB143)</f>
        <v>0</v>
      </c>
      <c r="DC141" s="179"/>
      <c r="DD141" s="179"/>
      <c r="DE141" s="179"/>
      <c r="DF141" s="179"/>
      <c r="DG141" s="180"/>
      <c r="DI141" s="826"/>
      <c r="DJ141" s="788"/>
    </row>
    <row r="142" spans="1:114" s="783" customFormat="1" hidden="1">
      <c r="A142" s="177"/>
      <c r="B142" s="187" t="s">
        <v>3</v>
      </c>
      <c r="C142" s="837" t="s">
        <v>54</v>
      </c>
      <c r="D142" s="31"/>
      <c r="E142" s="31"/>
      <c r="F142" s="31"/>
      <c r="G142" s="31"/>
      <c r="H142" s="134">
        <v>1736.59</v>
      </c>
      <c r="I142" s="134">
        <v>1356.8</v>
      </c>
      <c r="J142" s="134">
        <v>188.01</v>
      </c>
      <c r="K142" s="134">
        <v>1168.79</v>
      </c>
      <c r="L142" s="134">
        <f>G142/12</f>
        <v>0</v>
      </c>
      <c r="M142" s="134">
        <v>245.86006</v>
      </c>
      <c r="N142" s="134">
        <v>128.07</v>
      </c>
      <c r="O142" s="134">
        <f>M142*62/100</f>
        <v>152.43323720000001</v>
      </c>
      <c r="P142" s="134">
        <v>16.649999999999999</v>
      </c>
      <c r="Q142" s="134">
        <v>16.100000000000001</v>
      </c>
      <c r="R142" s="134">
        <v>113.07</v>
      </c>
      <c r="S142" s="134">
        <v>71.22</v>
      </c>
      <c r="T142" s="134">
        <f>K142/12</f>
        <v>97.399166666666659</v>
      </c>
      <c r="U142" s="134">
        <v>92.885000000000005</v>
      </c>
      <c r="V142" s="134">
        <v>6.11</v>
      </c>
      <c r="W142" s="134"/>
      <c r="X142" s="51">
        <f t="shared" si="73"/>
        <v>24.363237200000015</v>
      </c>
      <c r="Y142" s="55">
        <f t="shared" si="74"/>
        <v>1.1902337565393926</v>
      </c>
      <c r="Z142" s="134">
        <v>257.77999999999997</v>
      </c>
      <c r="AA142" s="134">
        <v>270.43</v>
      </c>
      <c r="AB142" s="134">
        <v>144.72</v>
      </c>
      <c r="AC142" s="134"/>
      <c r="AD142" s="134">
        <v>15.67</v>
      </c>
      <c r="AE142" s="134"/>
      <c r="AF142" s="134">
        <v>97.4</v>
      </c>
      <c r="AG142" s="134"/>
      <c r="AH142" s="134"/>
      <c r="AI142" s="134"/>
      <c r="AJ142" s="51">
        <f t="shared" si="76"/>
        <v>-144.72</v>
      </c>
      <c r="AK142" s="56">
        <f t="shared" si="77"/>
        <v>0</v>
      </c>
      <c r="AL142" s="134">
        <v>257.77999999999997</v>
      </c>
      <c r="AM142" s="134">
        <v>270.43</v>
      </c>
      <c r="AN142" s="134">
        <v>144.72</v>
      </c>
      <c r="AO142" s="134"/>
      <c r="AP142" s="134">
        <v>15.67</v>
      </c>
      <c r="AQ142" s="134"/>
      <c r="AR142" s="134">
        <v>97.4</v>
      </c>
      <c r="AS142" s="134"/>
      <c r="AT142" s="134"/>
      <c r="AU142" s="134"/>
      <c r="AV142" s="51">
        <f t="shared" si="79"/>
        <v>-144.72</v>
      </c>
      <c r="AW142" s="56">
        <f t="shared" si="80"/>
        <v>0</v>
      </c>
      <c r="AX142" s="31">
        <f>G142/2</f>
        <v>0</v>
      </c>
      <c r="AY142" s="31"/>
      <c r="AZ142" s="109"/>
      <c r="BA142" s="62"/>
      <c r="BB142" s="62"/>
      <c r="BC142" s="62"/>
      <c r="BD142" s="62"/>
      <c r="BE142" s="110"/>
      <c r="BF142" s="109"/>
      <c r="BG142" s="62"/>
      <c r="BH142" s="62"/>
      <c r="BI142" s="110"/>
      <c r="BJ142" s="426">
        <f>BA142-AZ142</f>
        <v>0</v>
      </c>
      <c r="BK142" s="46" t="e">
        <f>BA142/AZ142</f>
        <v>#DIV/0!</v>
      </c>
      <c r="BL142" s="428"/>
      <c r="BM142" s="61">
        <v>270.4255</v>
      </c>
      <c r="BN142" s="62"/>
      <c r="BO142" s="470"/>
      <c r="BP142" s="64"/>
      <c r="BQ142" s="61"/>
      <c r="BR142" s="65"/>
      <c r="BS142" s="66"/>
      <c r="BT142" s="64"/>
      <c r="BU142" s="61"/>
      <c r="BV142" s="479"/>
      <c r="BW142" s="66"/>
      <c r="BX142" s="431"/>
      <c r="BY142" s="68">
        <f>F142</f>
        <v>0</v>
      </c>
      <c r="BZ142" s="69">
        <f t="shared" si="87"/>
        <v>516.28556000000003</v>
      </c>
      <c r="CA142" s="61">
        <f>BZ142-BY142</f>
        <v>516.28556000000003</v>
      </c>
      <c r="CB142" s="71" t="e">
        <f>BZ142/BY142</f>
        <v>#DIV/0!</v>
      </c>
      <c r="CC142" s="72">
        <f t="shared" si="88"/>
        <v>516.28556000000003</v>
      </c>
      <c r="CD142" s="434">
        <f>BZ142-CE142</f>
        <v>359.44556</v>
      </c>
      <c r="CE142" s="62">
        <v>156.84</v>
      </c>
      <c r="CF142" s="73"/>
      <c r="CG142" s="74"/>
      <c r="CH142" s="74"/>
      <c r="CI142" s="74"/>
      <c r="CJ142" s="74"/>
      <c r="CK142" s="74"/>
      <c r="CL142" s="74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31"/>
      <c r="DB142" s="31"/>
      <c r="DC142" s="31"/>
      <c r="DD142" s="31"/>
      <c r="DE142" s="31"/>
      <c r="DF142" s="31"/>
      <c r="DG142" s="134"/>
      <c r="DI142" s="826"/>
      <c r="DJ142" s="788"/>
    </row>
    <row r="143" spans="1:114" s="783" customFormat="1" hidden="1">
      <c r="A143" s="177"/>
      <c r="B143" s="187" t="s">
        <v>92</v>
      </c>
      <c r="C143" s="837" t="s">
        <v>54</v>
      </c>
      <c r="D143" s="31"/>
      <c r="E143" s="31"/>
      <c r="F143" s="31"/>
      <c r="G143" s="31"/>
      <c r="H143" s="134">
        <v>351.59</v>
      </c>
      <c r="I143" s="134">
        <v>275.43</v>
      </c>
      <c r="J143" s="134">
        <v>38.159999999999997</v>
      </c>
      <c r="K143" s="134">
        <v>237.27</v>
      </c>
      <c r="L143" s="134">
        <f>G143/12</f>
        <v>0</v>
      </c>
      <c r="M143" s="134">
        <v>49.821750000000002</v>
      </c>
      <c r="N143" s="134">
        <v>25.95</v>
      </c>
      <c r="O143" s="134">
        <v>30.89</v>
      </c>
      <c r="P143" s="134">
        <v>3.35</v>
      </c>
      <c r="Q143" s="134">
        <v>3.26</v>
      </c>
      <c r="R143" s="134">
        <v>22.95</v>
      </c>
      <c r="S143" s="134">
        <v>14.43</v>
      </c>
      <c r="T143" s="134">
        <f>K143/12</f>
        <v>19.772500000000001</v>
      </c>
      <c r="U143" s="134">
        <v>18.82</v>
      </c>
      <c r="V143" s="134">
        <v>1.24</v>
      </c>
      <c r="W143" s="134"/>
      <c r="X143" s="51">
        <f t="shared" si="73"/>
        <v>4.9400000000000013</v>
      </c>
      <c r="Y143" s="55">
        <f t="shared" si="74"/>
        <v>1.1903660886319847</v>
      </c>
      <c r="Z143" s="134">
        <v>52.25</v>
      </c>
      <c r="AA143" s="134">
        <v>54.664000000000001</v>
      </c>
      <c r="AB143" s="134">
        <v>29.3</v>
      </c>
      <c r="AC143" s="134"/>
      <c r="AD143" s="134">
        <v>3.18</v>
      </c>
      <c r="AE143" s="134"/>
      <c r="AF143" s="134">
        <v>19.77</v>
      </c>
      <c r="AG143" s="134"/>
      <c r="AH143" s="134"/>
      <c r="AI143" s="134"/>
      <c r="AJ143" s="51">
        <f t="shared" si="76"/>
        <v>-29.3</v>
      </c>
      <c r="AK143" s="56">
        <f t="shared" si="77"/>
        <v>0</v>
      </c>
      <c r="AL143" s="134">
        <v>52.25</v>
      </c>
      <c r="AM143" s="134">
        <v>54.664000000000001</v>
      </c>
      <c r="AN143" s="134">
        <v>29.3</v>
      </c>
      <c r="AO143" s="134"/>
      <c r="AP143" s="134">
        <v>3.18</v>
      </c>
      <c r="AQ143" s="134"/>
      <c r="AR143" s="134">
        <v>19.77</v>
      </c>
      <c r="AS143" s="134"/>
      <c r="AT143" s="134"/>
      <c r="AU143" s="134"/>
      <c r="AV143" s="51">
        <f t="shared" si="79"/>
        <v>-29.3</v>
      </c>
      <c r="AW143" s="56">
        <f t="shared" si="80"/>
        <v>0</v>
      </c>
      <c r="AX143" s="31">
        <f>G143/2</f>
        <v>0</v>
      </c>
      <c r="AY143" s="31"/>
      <c r="AZ143" s="109"/>
      <c r="BA143" s="62"/>
      <c r="BB143" s="62"/>
      <c r="BC143" s="62"/>
      <c r="BD143" s="62"/>
      <c r="BE143" s="110"/>
      <c r="BF143" s="109"/>
      <c r="BG143" s="62"/>
      <c r="BH143" s="62"/>
      <c r="BI143" s="110"/>
      <c r="BJ143" s="426">
        <f>BA143-AZ143</f>
        <v>0</v>
      </c>
      <c r="BK143" s="46" t="e">
        <f>BA143/AZ143</f>
        <v>#DIV/0!</v>
      </c>
      <c r="BL143" s="428"/>
      <c r="BM143" s="61">
        <v>53.940309999999997</v>
      </c>
      <c r="BN143" s="62"/>
      <c r="BO143" s="470"/>
      <c r="BP143" s="64"/>
      <c r="BQ143" s="61"/>
      <c r="BR143" s="65"/>
      <c r="BS143" s="66"/>
      <c r="BT143" s="64"/>
      <c r="BU143" s="61"/>
      <c r="BV143" s="479"/>
      <c r="BW143" s="66"/>
      <c r="BX143" s="431"/>
      <c r="BY143" s="68">
        <f>F143</f>
        <v>0</v>
      </c>
      <c r="BZ143" s="69">
        <f t="shared" si="87"/>
        <v>103.76205999999999</v>
      </c>
      <c r="CA143" s="61">
        <f>BZ143-BY143</f>
        <v>103.76205999999999</v>
      </c>
      <c r="CB143" s="71" t="e">
        <f>BZ143/BY143</f>
        <v>#DIV/0!</v>
      </c>
      <c r="CC143" s="72">
        <f t="shared" si="88"/>
        <v>103.76205999999999</v>
      </c>
      <c r="CD143" s="434">
        <f>BZ143-CE143</f>
        <v>71.922059999999988</v>
      </c>
      <c r="CE143" s="62">
        <v>31.84</v>
      </c>
      <c r="CF143" s="73"/>
      <c r="CG143" s="74"/>
      <c r="CH143" s="74"/>
      <c r="CI143" s="74"/>
      <c r="CJ143" s="74"/>
      <c r="CK143" s="74"/>
      <c r="CL143" s="74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31"/>
      <c r="DB143" s="31"/>
      <c r="DC143" s="31"/>
      <c r="DD143" s="31"/>
      <c r="DE143" s="31"/>
      <c r="DF143" s="31"/>
      <c r="DG143" s="134"/>
      <c r="DI143" s="826"/>
      <c r="DJ143" s="788"/>
    </row>
    <row r="144" spans="1:114" s="783" customFormat="1" hidden="1">
      <c r="A144" s="194" t="s">
        <v>139</v>
      </c>
      <c r="B144" s="199" t="s">
        <v>22</v>
      </c>
      <c r="C144" s="838" t="s">
        <v>54</v>
      </c>
      <c r="D144" s="179">
        <f>SUM(D145)</f>
        <v>40.82</v>
      </c>
      <c r="E144" s="179">
        <f>SUM(E145)</f>
        <v>42</v>
      </c>
      <c r="F144" s="179">
        <v>42</v>
      </c>
      <c r="G144" s="179">
        <v>42</v>
      </c>
      <c r="H144" s="180">
        <f t="shared" ref="H144:U144" si="93">SUM(H145)</f>
        <v>0</v>
      </c>
      <c r="I144" s="180">
        <f t="shared" si="93"/>
        <v>0</v>
      </c>
      <c r="J144" s="180">
        <f t="shared" si="93"/>
        <v>0</v>
      </c>
      <c r="K144" s="180">
        <f t="shared" si="93"/>
        <v>0</v>
      </c>
      <c r="L144" s="180">
        <f t="shared" si="93"/>
        <v>0</v>
      </c>
      <c r="M144" s="180">
        <f t="shared" si="93"/>
        <v>9.66</v>
      </c>
      <c r="N144" s="180">
        <f t="shared" si="93"/>
        <v>0</v>
      </c>
      <c r="O144" s="180">
        <v>5.99</v>
      </c>
      <c r="P144" s="180">
        <v>0</v>
      </c>
      <c r="Q144" s="180">
        <v>0.63</v>
      </c>
      <c r="R144" s="180">
        <f t="shared" si="93"/>
        <v>0</v>
      </c>
      <c r="S144" s="180">
        <v>2.8</v>
      </c>
      <c r="T144" s="180">
        <f t="shared" si="93"/>
        <v>0</v>
      </c>
      <c r="U144" s="180">
        <f t="shared" si="93"/>
        <v>0</v>
      </c>
      <c r="V144" s="180">
        <v>0.24</v>
      </c>
      <c r="W144" s="180"/>
      <c r="X144" s="216"/>
      <c r="Y144" s="191"/>
      <c r="Z144" s="180">
        <f t="shared" ref="Z144:AG144" si="94">SUM(Z145)</f>
        <v>0</v>
      </c>
      <c r="AA144" s="180">
        <f t="shared" si="94"/>
        <v>3.87</v>
      </c>
      <c r="AB144" s="180">
        <f t="shared" si="94"/>
        <v>0</v>
      </c>
      <c r="AC144" s="180">
        <f t="shared" si="94"/>
        <v>0</v>
      </c>
      <c r="AD144" s="180">
        <f t="shared" si="94"/>
        <v>0</v>
      </c>
      <c r="AE144" s="180">
        <f t="shared" si="94"/>
        <v>0</v>
      </c>
      <c r="AF144" s="180">
        <f t="shared" si="94"/>
        <v>0</v>
      </c>
      <c r="AG144" s="180">
        <f t="shared" si="94"/>
        <v>0</v>
      </c>
      <c r="AH144" s="180"/>
      <c r="AI144" s="180"/>
      <c r="AJ144" s="216"/>
      <c r="AK144" s="192"/>
      <c r="AL144" s="180">
        <f t="shared" ref="AL144:AS144" si="95">SUM(AL145)</f>
        <v>0</v>
      </c>
      <c r="AM144" s="180">
        <f t="shared" si="95"/>
        <v>3.87</v>
      </c>
      <c r="AN144" s="180">
        <f t="shared" si="95"/>
        <v>0</v>
      </c>
      <c r="AO144" s="180">
        <f t="shared" si="95"/>
        <v>0</v>
      </c>
      <c r="AP144" s="180">
        <f t="shared" si="95"/>
        <v>0</v>
      </c>
      <c r="AQ144" s="180">
        <f t="shared" si="95"/>
        <v>0</v>
      </c>
      <c r="AR144" s="180">
        <f t="shared" si="95"/>
        <v>0</v>
      </c>
      <c r="AS144" s="180">
        <f t="shared" si="95"/>
        <v>0</v>
      </c>
      <c r="AT144" s="180"/>
      <c r="AU144" s="180"/>
      <c r="AV144" s="216"/>
      <c r="AW144" s="192"/>
      <c r="AX144" s="179">
        <f>G144/2</f>
        <v>21</v>
      </c>
      <c r="AY144" s="179">
        <v>110.46</v>
      </c>
      <c r="AZ144" s="184">
        <f>H144/4</f>
        <v>0</v>
      </c>
      <c r="BA144" s="185">
        <f>SUM(BA145)</f>
        <v>17.46</v>
      </c>
      <c r="BB144" s="185">
        <f t="shared" ref="BB144:BG144" si="96">SUM(BB145)</f>
        <v>0</v>
      </c>
      <c r="BC144" s="185">
        <f t="shared" si="96"/>
        <v>20.440000000000001</v>
      </c>
      <c r="BD144" s="185">
        <f t="shared" si="96"/>
        <v>0</v>
      </c>
      <c r="BE144" s="186">
        <f t="shared" si="96"/>
        <v>2.92</v>
      </c>
      <c r="BF144" s="184">
        <v>0</v>
      </c>
      <c r="BG144" s="185">
        <f t="shared" si="96"/>
        <v>18.84</v>
      </c>
      <c r="BH144" s="185"/>
      <c r="BI144" s="186"/>
      <c r="BJ144" s="426">
        <f t="shared" si="70"/>
        <v>17.46</v>
      </c>
      <c r="BK144" s="481"/>
      <c r="BL144" s="468"/>
      <c r="BM144" s="495">
        <f>SUM(BM145)</f>
        <v>3.8740000000000001</v>
      </c>
      <c r="BN144" s="264"/>
      <c r="BO144" s="470"/>
      <c r="BP144" s="496"/>
      <c r="BQ144" s="495"/>
      <c r="BR144" s="497"/>
      <c r="BS144" s="498"/>
      <c r="BT144" s="496"/>
      <c r="BU144" s="495"/>
      <c r="BV144" s="497"/>
      <c r="BW144" s="498"/>
      <c r="BX144" s="499"/>
      <c r="BY144" s="500"/>
      <c r="BZ144" s="501">
        <f t="shared" si="87"/>
        <v>13.534000000000001</v>
      </c>
      <c r="CA144" s="502"/>
      <c r="CB144" s="503"/>
      <c r="CC144" s="307">
        <f t="shared" si="88"/>
        <v>-28.466000000000001</v>
      </c>
      <c r="CD144" s="477">
        <f>SUM(CD145)</f>
        <v>14.18</v>
      </c>
      <c r="CE144" s="185"/>
      <c r="CF144" s="505"/>
      <c r="CG144" s="465"/>
      <c r="CH144" s="465"/>
      <c r="CI144" s="465"/>
      <c r="CJ144" s="465"/>
      <c r="CK144" s="465"/>
      <c r="CL144" s="465"/>
      <c r="CM144" s="466"/>
      <c r="CN144" s="466"/>
      <c r="CO144" s="466"/>
      <c r="CP144" s="466"/>
      <c r="CQ144" s="466"/>
      <c r="CR144" s="466"/>
      <c r="CS144" s="466"/>
      <c r="CT144" s="466"/>
      <c r="CU144" s="466"/>
      <c r="CV144" s="466"/>
      <c r="CW144" s="466"/>
      <c r="CX144" s="466"/>
      <c r="CY144" s="466"/>
      <c r="CZ144" s="466"/>
      <c r="DA144" s="179">
        <f>SUM(DA145)</f>
        <v>42</v>
      </c>
      <c r="DB144" s="179">
        <f>SUM(DB145)</f>
        <v>42</v>
      </c>
      <c r="DC144" s="179"/>
      <c r="DD144" s="179"/>
      <c r="DE144" s="179"/>
      <c r="DF144" s="179"/>
      <c r="DG144" s="180"/>
      <c r="DI144" s="826"/>
      <c r="DJ144" s="788"/>
    </row>
    <row r="145" spans="1:114" s="783" customFormat="1" hidden="1">
      <c r="A145" s="194"/>
      <c r="B145" s="195" t="s">
        <v>25</v>
      </c>
      <c r="C145" s="840" t="s">
        <v>54</v>
      </c>
      <c r="D145" s="31">
        <v>40.82</v>
      </c>
      <c r="E145" s="31">
        <v>42</v>
      </c>
      <c r="F145" s="31">
        <v>40.82</v>
      </c>
      <c r="G145" s="31">
        <v>40.82</v>
      </c>
      <c r="H145" s="145"/>
      <c r="I145" s="145"/>
      <c r="J145" s="145"/>
      <c r="K145" s="145"/>
      <c r="L145" s="145"/>
      <c r="M145" s="145">
        <v>9.66</v>
      </c>
      <c r="N145" s="145"/>
      <c r="O145" s="145">
        <v>9.66</v>
      </c>
      <c r="P145" s="145"/>
      <c r="Q145" s="145"/>
      <c r="R145" s="145"/>
      <c r="S145" s="145"/>
      <c r="T145" s="145"/>
      <c r="U145" s="145"/>
      <c r="V145" s="145"/>
      <c r="W145" s="145"/>
      <c r="X145" s="218"/>
      <c r="Y145" s="197"/>
      <c r="Z145" s="145"/>
      <c r="AA145" s="145">
        <v>3.87</v>
      </c>
      <c r="AB145" s="145"/>
      <c r="AC145" s="145"/>
      <c r="AD145" s="145"/>
      <c r="AE145" s="145"/>
      <c r="AF145" s="145"/>
      <c r="AG145" s="145"/>
      <c r="AH145" s="145"/>
      <c r="AI145" s="145"/>
      <c r="AJ145" s="218"/>
      <c r="AK145" s="198"/>
      <c r="AL145" s="145"/>
      <c r="AM145" s="145">
        <v>3.87</v>
      </c>
      <c r="AN145" s="145"/>
      <c r="AO145" s="145"/>
      <c r="AP145" s="145"/>
      <c r="AQ145" s="145"/>
      <c r="AR145" s="145"/>
      <c r="AS145" s="145"/>
      <c r="AT145" s="145"/>
      <c r="AU145" s="145"/>
      <c r="AV145" s="218"/>
      <c r="AW145" s="198"/>
      <c r="AX145" s="144"/>
      <c r="AY145" s="144">
        <v>110.46</v>
      </c>
      <c r="AZ145" s="149"/>
      <c r="BA145" s="150">
        <v>17.46</v>
      </c>
      <c r="BB145" s="150"/>
      <c r="BC145" s="150">
        <v>20.440000000000001</v>
      </c>
      <c r="BD145" s="150"/>
      <c r="BE145" s="151">
        <v>2.92</v>
      </c>
      <c r="BF145" s="149"/>
      <c r="BG145" s="150">
        <v>18.84</v>
      </c>
      <c r="BH145" s="150"/>
      <c r="BI145" s="151"/>
      <c r="BJ145" s="435">
        <f t="shared" si="70"/>
        <v>17.46</v>
      </c>
      <c r="BK145" s="482"/>
      <c r="BL145" s="437"/>
      <c r="BM145" s="483">
        <v>3.8740000000000001</v>
      </c>
      <c r="BN145" s="150"/>
      <c r="BO145" s="484"/>
      <c r="BP145" s="485"/>
      <c r="BQ145" s="483"/>
      <c r="BR145" s="486"/>
      <c r="BS145" s="487"/>
      <c r="BT145" s="485"/>
      <c r="BU145" s="483"/>
      <c r="BV145" s="486"/>
      <c r="BW145" s="487"/>
      <c r="BX145" s="440"/>
      <c r="BY145" s="488"/>
      <c r="BZ145" s="489">
        <f t="shared" si="87"/>
        <v>13.534000000000001</v>
      </c>
      <c r="CA145" s="490"/>
      <c r="CB145" s="491"/>
      <c r="CC145" s="246">
        <f t="shared" si="88"/>
        <v>-28.466000000000001</v>
      </c>
      <c r="CD145" s="443">
        <v>14.18</v>
      </c>
      <c r="CE145" s="150"/>
      <c r="CF145" s="492"/>
      <c r="CG145" s="74"/>
      <c r="CH145" s="74"/>
      <c r="CI145" s="74"/>
      <c r="CJ145" s="74"/>
      <c r="CK145" s="74"/>
      <c r="CL145" s="74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144">
        <v>42</v>
      </c>
      <c r="DB145" s="144">
        <v>42</v>
      </c>
      <c r="DC145" s="31">
        <v>42</v>
      </c>
      <c r="DD145" s="31">
        <v>63.03</v>
      </c>
      <c r="DE145" s="31">
        <f>48.67+4.02</f>
        <v>52.69</v>
      </c>
      <c r="DF145" s="31">
        <v>26.34</v>
      </c>
      <c r="DG145" s="134">
        <v>26.35</v>
      </c>
      <c r="DH145" s="835"/>
      <c r="DI145" s="826"/>
      <c r="DJ145" s="788"/>
    </row>
    <row r="146" spans="1:114" s="783" customFormat="1">
      <c r="A146" s="177" t="s">
        <v>139</v>
      </c>
      <c r="B146" s="178" t="s">
        <v>6</v>
      </c>
      <c r="C146" s="838" t="s">
        <v>54</v>
      </c>
      <c r="D146" s="179">
        <f>SUM(D147:D165)</f>
        <v>620.01</v>
      </c>
      <c r="E146" s="179">
        <f>SUM(E147:E165)</f>
        <v>497.2</v>
      </c>
      <c r="F146" s="179">
        <f>SUM(F147:F165)</f>
        <v>497.2</v>
      </c>
      <c r="G146" s="179">
        <f>SUM(G147:G165)</f>
        <v>497.2</v>
      </c>
      <c r="H146" s="180">
        <f t="shared" ref="H146:M146" si="97">SUM(H147:H165)</f>
        <v>0</v>
      </c>
      <c r="I146" s="180">
        <f t="shared" si="97"/>
        <v>136.17499999999998</v>
      </c>
      <c r="J146" s="180">
        <f t="shared" si="97"/>
        <v>87.44</v>
      </c>
      <c r="K146" s="180">
        <f t="shared" si="97"/>
        <v>48.734999999999992</v>
      </c>
      <c r="L146" s="180">
        <f t="shared" si="97"/>
        <v>11.833333333333332</v>
      </c>
      <c r="M146" s="180">
        <f t="shared" si="97"/>
        <v>1.1399999999999999</v>
      </c>
      <c r="N146" s="180">
        <v>44.24</v>
      </c>
      <c r="O146" s="180">
        <v>31.88</v>
      </c>
      <c r="P146" s="180">
        <v>4.92</v>
      </c>
      <c r="Q146" s="180">
        <v>3.37</v>
      </c>
      <c r="R146" s="180">
        <v>77.569999999999993</v>
      </c>
      <c r="S146" s="180">
        <v>14.9</v>
      </c>
      <c r="T146" s="180">
        <f>SUM(T147:T165)</f>
        <v>4.0612499999999994</v>
      </c>
      <c r="U146" s="180">
        <f>SUM(U147:U165)</f>
        <v>0.29699999999999999</v>
      </c>
      <c r="V146" s="180">
        <v>1.28</v>
      </c>
      <c r="W146" s="180"/>
      <c r="X146" s="181"/>
      <c r="Y146" s="191"/>
      <c r="Z146" s="180">
        <f t="shared" ref="Z146:AG146" si="98">SUM(Z147:Z165)</f>
        <v>11.350000000000001</v>
      </c>
      <c r="AA146" s="180">
        <f t="shared" si="98"/>
        <v>12.58</v>
      </c>
      <c r="AB146" s="180">
        <f t="shared" si="98"/>
        <v>0</v>
      </c>
      <c r="AC146" s="180">
        <f t="shared" si="98"/>
        <v>0</v>
      </c>
      <c r="AD146" s="180">
        <f t="shared" si="98"/>
        <v>7.28</v>
      </c>
      <c r="AE146" s="180">
        <f t="shared" si="98"/>
        <v>0</v>
      </c>
      <c r="AF146" s="180">
        <f t="shared" si="98"/>
        <v>4.0600000000000005</v>
      </c>
      <c r="AG146" s="180">
        <f t="shared" si="98"/>
        <v>0</v>
      </c>
      <c r="AH146" s="180"/>
      <c r="AI146" s="180"/>
      <c r="AJ146" s="181"/>
      <c r="AK146" s="192"/>
      <c r="AL146" s="180">
        <f t="shared" ref="AL146:AS146" si="99">SUM(AL147:AL165)</f>
        <v>11.350000000000001</v>
      </c>
      <c r="AM146" s="180">
        <f t="shared" si="99"/>
        <v>12.58</v>
      </c>
      <c r="AN146" s="180">
        <f t="shared" si="99"/>
        <v>0</v>
      </c>
      <c r="AO146" s="180">
        <f t="shared" si="99"/>
        <v>0</v>
      </c>
      <c r="AP146" s="180">
        <f t="shared" si="99"/>
        <v>7.28</v>
      </c>
      <c r="AQ146" s="180">
        <f t="shared" si="99"/>
        <v>0</v>
      </c>
      <c r="AR146" s="180">
        <f t="shared" si="99"/>
        <v>4.0600000000000005</v>
      </c>
      <c r="AS146" s="180">
        <f t="shared" si="99"/>
        <v>0</v>
      </c>
      <c r="AT146" s="180"/>
      <c r="AU146" s="180"/>
      <c r="AV146" s="181"/>
      <c r="AW146" s="192"/>
      <c r="AX146" s="179">
        <f>G146/2</f>
        <v>248.6</v>
      </c>
      <c r="AY146" s="179">
        <f>SUM(AY147:AY165)</f>
        <v>606.82000000000005</v>
      </c>
      <c r="AZ146" s="184">
        <f>SUM(AZ147:AZ165)</f>
        <v>0</v>
      </c>
      <c r="BA146" s="185">
        <f>SUM(BA147:BA165)</f>
        <v>315.94</v>
      </c>
      <c r="BB146" s="185">
        <f t="shared" ref="BB146:BG146" si="100">SUM(BB147:BB165)</f>
        <v>0</v>
      </c>
      <c r="BC146" s="185">
        <f t="shared" si="100"/>
        <v>17.089999999999996</v>
      </c>
      <c r="BD146" s="185">
        <f t="shared" si="100"/>
        <v>0</v>
      </c>
      <c r="BE146" s="186">
        <f t="shared" si="100"/>
        <v>25.79</v>
      </c>
      <c r="BF146" s="184">
        <f t="shared" si="100"/>
        <v>117.58</v>
      </c>
      <c r="BG146" s="185">
        <f t="shared" si="100"/>
        <v>75.05</v>
      </c>
      <c r="BH146" s="185"/>
      <c r="BI146" s="186"/>
      <c r="BJ146" s="426">
        <f t="shared" si="70"/>
        <v>315.94</v>
      </c>
      <c r="BK146" s="481"/>
      <c r="BL146" s="468"/>
      <c r="BM146" s="469">
        <f>SUM(BM147:BM165)</f>
        <v>12.582000000000001</v>
      </c>
      <c r="BN146" s="185"/>
      <c r="BO146" s="527"/>
      <c r="BP146" s="471"/>
      <c r="BQ146" s="469"/>
      <c r="BR146" s="472"/>
      <c r="BS146" s="473"/>
      <c r="BT146" s="471"/>
      <c r="BU146" s="469"/>
      <c r="BV146" s="472"/>
      <c r="BW146" s="473"/>
      <c r="BX146" s="474"/>
      <c r="BY146" s="475"/>
      <c r="BZ146" s="320"/>
      <c r="CA146" s="469"/>
      <c r="CB146" s="476"/>
      <c r="CC146" s="307"/>
      <c r="CD146" s="477"/>
      <c r="CE146" s="185"/>
      <c r="CF146" s="478"/>
      <c r="CG146" s="465"/>
      <c r="CH146" s="465"/>
      <c r="CI146" s="465"/>
      <c r="CJ146" s="465"/>
      <c r="CK146" s="465"/>
      <c r="CL146" s="465"/>
      <c r="CM146" s="466"/>
      <c r="CN146" s="466"/>
      <c r="CO146" s="466"/>
      <c r="CP146" s="466"/>
      <c r="CQ146" s="466"/>
      <c r="CR146" s="466"/>
      <c r="CS146" s="466"/>
      <c r="CT146" s="466"/>
      <c r="CU146" s="466"/>
      <c r="CV146" s="466"/>
      <c r="CW146" s="466"/>
      <c r="CX146" s="466"/>
      <c r="CY146" s="466"/>
      <c r="CZ146" s="466"/>
      <c r="DA146" s="179">
        <f>SUM(DA147:DA165)</f>
        <v>497.2</v>
      </c>
      <c r="DB146" s="179">
        <f>SUM(DB147:DB165)</f>
        <v>497.2</v>
      </c>
      <c r="DC146" s="179">
        <v>550.20000000000005</v>
      </c>
      <c r="DD146" s="179">
        <v>512.16</v>
      </c>
      <c r="DE146" s="179">
        <v>560.89</v>
      </c>
      <c r="DF146" s="31">
        <f>DE146/2</f>
        <v>280.44499999999999</v>
      </c>
      <c r="DG146" s="180">
        <f>DF146</f>
        <v>280.44499999999999</v>
      </c>
      <c r="DI146" s="826"/>
      <c r="DJ146" s="788"/>
    </row>
    <row r="147" spans="1:114" s="783" customFormat="1" hidden="1">
      <c r="A147" s="177"/>
      <c r="B147" s="187" t="s">
        <v>13</v>
      </c>
      <c r="C147" s="837" t="s">
        <v>54</v>
      </c>
      <c r="D147" s="31">
        <v>43.15</v>
      </c>
      <c r="E147" s="31">
        <v>45</v>
      </c>
      <c r="F147" s="31">
        <v>45</v>
      </c>
      <c r="G147" s="31">
        <v>45</v>
      </c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51"/>
      <c r="Y147" s="55"/>
      <c r="Z147" s="134"/>
      <c r="AA147" s="134">
        <v>2.5099999999999998</v>
      </c>
      <c r="AB147" s="134"/>
      <c r="AC147" s="134"/>
      <c r="AD147" s="134"/>
      <c r="AE147" s="134"/>
      <c r="AF147" s="134"/>
      <c r="AG147" s="134"/>
      <c r="AH147" s="134"/>
      <c r="AI147" s="134"/>
      <c r="AJ147" s="51"/>
      <c r="AK147" s="56"/>
      <c r="AL147" s="134"/>
      <c r="AM147" s="134">
        <v>2.5099999999999998</v>
      </c>
      <c r="AN147" s="134"/>
      <c r="AO147" s="134"/>
      <c r="AP147" s="134"/>
      <c r="AQ147" s="134"/>
      <c r="AR147" s="134"/>
      <c r="AS147" s="134"/>
      <c r="AT147" s="134"/>
      <c r="AU147" s="134"/>
      <c r="AV147" s="51"/>
      <c r="AW147" s="56"/>
      <c r="AX147" s="31"/>
      <c r="AY147" s="31">
        <v>214.1</v>
      </c>
      <c r="AZ147" s="184"/>
      <c r="BA147" s="150">
        <v>23.87</v>
      </c>
      <c r="BB147" s="62"/>
      <c r="BC147" s="62">
        <v>7.52</v>
      </c>
      <c r="BD147" s="62"/>
      <c r="BE147" s="110">
        <v>11.76</v>
      </c>
      <c r="BF147" s="109">
        <v>100.27</v>
      </c>
      <c r="BG147" s="62"/>
      <c r="BH147" s="62"/>
      <c r="BI147" s="110"/>
      <c r="BJ147" s="426">
        <f t="shared" si="70"/>
        <v>23.87</v>
      </c>
      <c r="BK147" s="46"/>
      <c r="BL147" s="428"/>
      <c r="BM147" s="61">
        <v>2.5110000000000001</v>
      </c>
      <c r="BN147" s="62"/>
      <c r="BO147" s="470"/>
      <c r="BP147" s="64"/>
      <c r="BQ147" s="61"/>
      <c r="BR147" s="65"/>
      <c r="BS147" s="66"/>
      <c r="BT147" s="64"/>
      <c r="BU147" s="61"/>
      <c r="BV147" s="65"/>
      <c r="BW147" s="66"/>
      <c r="BX147" s="431"/>
      <c r="BY147" s="68"/>
      <c r="BZ147" s="69">
        <f>M147+BM147+BQ147+BU147</f>
        <v>2.5110000000000001</v>
      </c>
      <c r="CA147" s="70"/>
      <c r="CB147" s="71"/>
      <c r="CC147" s="72">
        <f>BZ147-E147</f>
        <v>-42.488999999999997</v>
      </c>
      <c r="CD147" s="434">
        <v>9.7200000000000006</v>
      </c>
      <c r="CE147" s="62"/>
      <c r="CF147" s="73"/>
      <c r="CG147" s="74"/>
      <c r="CH147" s="74"/>
      <c r="CI147" s="74"/>
      <c r="CJ147" s="74"/>
      <c r="CK147" s="74"/>
      <c r="CL147" s="74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31">
        <v>45</v>
      </c>
      <c r="DB147" s="31">
        <v>45</v>
      </c>
      <c r="DC147" s="31">
        <v>45</v>
      </c>
      <c r="DD147" s="31">
        <v>96.03</v>
      </c>
      <c r="DE147" s="31">
        <v>45</v>
      </c>
      <c r="DF147" s="31">
        <v>22.5</v>
      </c>
      <c r="DG147" s="134">
        <v>22.5</v>
      </c>
      <c r="DI147" s="826"/>
      <c r="DJ147" s="788"/>
    </row>
    <row r="148" spans="1:114" s="783" customFormat="1" hidden="1">
      <c r="A148" s="177"/>
      <c r="B148" s="187" t="s">
        <v>311</v>
      </c>
      <c r="C148" s="837" t="s">
        <v>54</v>
      </c>
      <c r="D148" s="31"/>
      <c r="E148" s="31"/>
      <c r="F148" s="31"/>
      <c r="G148" s="31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51"/>
      <c r="Y148" s="55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51"/>
      <c r="AK148" s="56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51"/>
      <c r="AW148" s="56"/>
      <c r="AX148" s="31"/>
      <c r="AY148" s="31">
        <v>2.35</v>
      </c>
      <c r="AZ148" s="184"/>
      <c r="BA148" s="150"/>
      <c r="BB148" s="62"/>
      <c r="BC148" s="62"/>
      <c r="BD148" s="62"/>
      <c r="BE148" s="110"/>
      <c r="BF148" s="109"/>
      <c r="BG148" s="62"/>
      <c r="BH148" s="62"/>
      <c r="BI148" s="110"/>
      <c r="BJ148" s="426"/>
      <c r="BK148" s="46"/>
      <c r="BL148" s="428"/>
      <c r="BM148" s="61"/>
      <c r="BN148" s="62"/>
      <c r="BO148" s="470"/>
      <c r="BP148" s="64"/>
      <c r="BQ148" s="61"/>
      <c r="BR148" s="65"/>
      <c r="BS148" s="66"/>
      <c r="BT148" s="64"/>
      <c r="BU148" s="61"/>
      <c r="BV148" s="65"/>
      <c r="BW148" s="66"/>
      <c r="BX148" s="431"/>
      <c r="BY148" s="68"/>
      <c r="BZ148" s="69"/>
      <c r="CA148" s="70"/>
      <c r="CB148" s="71"/>
      <c r="CC148" s="72"/>
      <c r="CD148" s="434"/>
      <c r="CE148" s="62"/>
      <c r="CF148" s="73"/>
      <c r="CG148" s="74"/>
      <c r="CH148" s="74"/>
      <c r="CI148" s="74"/>
      <c r="CJ148" s="74"/>
      <c r="CK148" s="74"/>
      <c r="CL148" s="74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31"/>
      <c r="DB148" s="31"/>
      <c r="DC148" s="31"/>
      <c r="DD148" s="31"/>
      <c r="DE148" s="31"/>
      <c r="DF148" s="31"/>
      <c r="DG148" s="134"/>
      <c r="DI148" s="826"/>
      <c r="DJ148" s="788"/>
    </row>
    <row r="149" spans="1:114" s="783" customFormat="1" ht="24" hidden="1">
      <c r="A149" s="177"/>
      <c r="B149" s="187" t="s">
        <v>209</v>
      </c>
      <c r="C149" s="837" t="s">
        <v>54</v>
      </c>
      <c r="D149" s="31"/>
      <c r="E149" s="31"/>
      <c r="F149" s="31"/>
      <c r="G149" s="31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51"/>
      <c r="Y149" s="55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51"/>
      <c r="AK149" s="56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51"/>
      <c r="AW149" s="56"/>
      <c r="AX149" s="31"/>
      <c r="AY149" s="31"/>
      <c r="AZ149" s="184"/>
      <c r="BA149" s="150"/>
      <c r="BB149" s="62"/>
      <c r="BC149" s="62"/>
      <c r="BD149" s="62"/>
      <c r="BE149" s="110"/>
      <c r="BF149" s="109"/>
      <c r="BG149" s="62">
        <v>6.74</v>
      </c>
      <c r="BH149" s="62"/>
      <c r="BI149" s="110"/>
      <c r="BJ149" s="426"/>
      <c r="BK149" s="46"/>
      <c r="BL149" s="428"/>
      <c r="BM149" s="61"/>
      <c r="BN149" s="62"/>
      <c r="BO149" s="470"/>
      <c r="BP149" s="64"/>
      <c r="BQ149" s="61"/>
      <c r="BR149" s="65"/>
      <c r="BS149" s="66"/>
      <c r="BT149" s="64"/>
      <c r="BU149" s="61"/>
      <c r="BV149" s="65"/>
      <c r="BW149" s="66"/>
      <c r="BX149" s="431"/>
      <c r="BY149" s="68"/>
      <c r="BZ149" s="69"/>
      <c r="CA149" s="70"/>
      <c r="CB149" s="71"/>
      <c r="CC149" s="72"/>
      <c r="CD149" s="434"/>
      <c r="CE149" s="62"/>
      <c r="CF149" s="73"/>
      <c r="CG149" s="74"/>
      <c r="CH149" s="74"/>
      <c r="CI149" s="74"/>
      <c r="CJ149" s="74"/>
      <c r="CK149" s="74"/>
      <c r="CL149" s="74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31"/>
      <c r="DB149" s="31"/>
      <c r="DC149" s="31"/>
      <c r="DD149" s="31"/>
      <c r="DE149" s="31"/>
      <c r="DF149" s="31"/>
      <c r="DG149" s="134"/>
      <c r="DI149" s="826"/>
      <c r="DJ149" s="788"/>
    </row>
    <row r="150" spans="1:114" s="783" customFormat="1" ht="24" hidden="1">
      <c r="A150" s="177"/>
      <c r="B150" s="187" t="s">
        <v>229</v>
      </c>
      <c r="C150" s="837" t="s">
        <v>54</v>
      </c>
      <c r="D150" s="31"/>
      <c r="E150" s="31"/>
      <c r="F150" s="31"/>
      <c r="G150" s="31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51"/>
      <c r="Y150" s="55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51"/>
      <c r="AK150" s="56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51"/>
      <c r="AW150" s="56"/>
      <c r="AX150" s="31"/>
      <c r="AY150" s="31"/>
      <c r="AZ150" s="184"/>
      <c r="BA150" s="150"/>
      <c r="BB150" s="62"/>
      <c r="BC150" s="62"/>
      <c r="BD150" s="62"/>
      <c r="BE150" s="110"/>
      <c r="BF150" s="109"/>
      <c r="BG150" s="62">
        <v>13</v>
      </c>
      <c r="BH150" s="62"/>
      <c r="BI150" s="110"/>
      <c r="BJ150" s="426"/>
      <c r="BK150" s="46"/>
      <c r="BL150" s="428"/>
      <c r="BM150" s="61"/>
      <c r="BN150" s="62"/>
      <c r="BO150" s="470"/>
      <c r="BP150" s="64"/>
      <c r="BQ150" s="61"/>
      <c r="BR150" s="65"/>
      <c r="BS150" s="66"/>
      <c r="BT150" s="64"/>
      <c r="BU150" s="61"/>
      <c r="BV150" s="65"/>
      <c r="BW150" s="66"/>
      <c r="BX150" s="431"/>
      <c r="BY150" s="68"/>
      <c r="BZ150" s="69"/>
      <c r="CA150" s="70"/>
      <c r="CB150" s="71"/>
      <c r="CC150" s="72"/>
      <c r="CD150" s="434"/>
      <c r="CE150" s="62"/>
      <c r="CF150" s="73"/>
      <c r="CG150" s="74"/>
      <c r="CH150" s="74"/>
      <c r="CI150" s="74"/>
      <c r="CJ150" s="74"/>
      <c r="CK150" s="74"/>
      <c r="CL150" s="74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31"/>
      <c r="DB150" s="31"/>
      <c r="DC150" s="31"/>
      <c r="DD150" s="31"/>
      <c r="DE150" s="31"/>
      <c r="DF150" s="31"/>
      <c r="DG150" s="134"/>
      <c r="DI150" s="826"/>
      <c r="DJ150" s="788"/>
    </row>
    <row r="151" spans="1:114" s="783" customFormat="1" hidden="1">
      <c r="A151" s="177"/>
      <c r="B151" s="187" t="s">
        <v>231</v>
      </c>
      <c r="C151" s="837" t="s">
        <v>54</v>
      </c>
      <c r="D151" s="31"/>
      <c r="E151" s="31"/>
      <c r="F151" s="31"/>
      <c r="G151" s="31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51"/>
      <c r="Y151" s="55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51"/>
      <c r="AK151" s="56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51"/>
      <c r="AW151" s="56"/>
      <c r="AX151" s="31"/>
      <c r="AY151" s="31"/>
      <c r="AZ151" s="184"/>
      <c r="BA151" s="150"/>
      <c r="BB151" s="62"/>
      <c r="BC151" s="62"/>
      <c r="BD151" s="62"/>
      <c r="BE151" s="110"/>
      <c r="BF151" s="109"/>
      <c r="BG151" s="62">
        <v>3.95</v>
      </c>
      <c r="BH151" s="62"/>
      <c r="BI151" s="110"/>
      <c r="BJ151" s="426"/>
      <c r="BK151" s="46"/>
      <c r="BL151" s="428"/>
      <c r="BM151" s="61"/>
      <c r="BN151" s="62"/>
      <c r="BO151" s="470"/>
      <c r="BP151" s="64"/>
      <c r="BQ151" s="61"/>
      <c r="BR151" s="65"/>
      <c r="BS151" s="66"/>
      <c r="BT151" s="64"/>
      <c r="BU151" s="61"/>
      <c r="BV151" s="65"/>
      <c r="BW151" s="66"/>
      <c r="BX151" s="431"/>
      <c r="BY151" s="68"/>
      <c r="BZ151" s="69"/>
      <c r="CA151" s="70"/>
      <c r="CB151" s="71"/>
      <c r="CC151" s="72"/>
      <c r="CD151" s="434"/>
      <c r="CE151" s="62"/>
      <c r="CF151" s="73"/>
      <c r="CG151" s="74"/>
      <c r="CH151" s="74"/>
      <c r="CI151" s="74"/>
      <c r="CJ151" s="74"/>
      <c r="CK151" s="74"/>
      <c r="CL151" s="74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31"/>
      <c r="DB151" s="31"/>
      <c r="DC151" s="31"/>
      <c r="DD151" s="31"/>
      <c r="DE151" s="31"/>
      <c r="DF151" s="31"/>
      <c r="DG151" s="134"/>
      <c r="DI151" s="826"/>
      <c r="DJ151" s="788"/>
    </row>
    <row r="152" spans="1:114" s="783" customFormat="1" hidden="1">
      <c r="A152" s="177"/>
      <c r="B152" s="187" t="s">
        <v>207</v>
      </c>
      <c r="C152" s="837" t="s">
        <v>54</v>
      </c>
      <c r="D152" s="31"/>
      <c r="E152" s="31"/>
      <c r="F152" s="31"/>
      <c r="G152" s="31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51"/>
      <c r="Y152" s="55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51"/>
      <c r="AK152" s="56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51"/>
      <c r="AW152" s="56"/>
      <c r="AX152" s="31"/>
      <c r="AY152" s="31"/>
      <c r="AZ152" s="184"/>
      <c r="BA152" s="150"/>
      <c r="BB152" s="62"/>
      <c r="BC152" s="62"/>
      <c r="BD152" s="62"/>
      <c r="BE152" s="110"/>
      <c r="BF152" s="109"/>
      <c r="BG152" s="62">
        <v>1.34</v>
      </c>
      <c r="BH152" s="62"/>
      <c r="BI152" s="110"/>
      <c r="BJ152" s="426"/>
      <c r="BK152" s="46"/>
      <c r="BL152" s="428"/>
      <c r="BM152" s="61"/>
      <c r="BN152" s="62"/>
      <c r="BO152" s="470"/>
      <c r="BP152" s="64"/>
      <c r="BQ152" s="61"/>
      <c r="BR152" s="65"/>
      <c r="BS152" s="66"/>
      <c r="BT152" s="64"/>
      <c r="BU152" s="61"/>
      <c r="BV152" s="65"/>
      <c r="BW152" s="66"/>
      <c r="BX152" s="431"/>
      <c r="BY152" s="68"/>
      <c r="BZ152" s="69"/>
      <c r="CA152" s="70"/>
      <c r="CB152" s="71"/>
      <c r="CC152" s="72"/>
      <c r="CD152" s="434"/>
      <c r="CE152" s="62"/>
      <c r="CF152" s="73"/>
      <c r="CG152" s="74"/>
      <c r="CH152" s="74"/>
      <c r="CI152" s="74"/>
      <c r="CJ152" s="74"/>
      <c r="CK152" s="74"/>
      <c r="CL152" s="74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31"/>
      <c r="DB152" s="31"/>
      <c r="DC152" s="31"/>
      <c r="DD152" s="31"/>
      <c r="DE152" s="31"/>
      <c r="DF152" s="31"/>
      <c r="DG152" s="134"/>
      <c r="DI152" s="826"/>
      <c r="DJ152" s="788"/>
    </row>
    <row r="153" spans="1:114" s="783" customFormat="1" ht="24" hidden="1">
      <c r="A153" s="177"/>
      <c r="B153" s="187" t="s">
        <v>208</v>
      </c>
      <c r="C153" s="837" t="s">
        <v>54</v>
      </c>
      <c r="D153" s="31"/>
      <c r="E153" s="31"/>
      <c r="F153" s="31"/>
      <c r="G153" s="31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51"/>
      <c r="Y153" s="55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51"/>
      <c r="AK153" s="56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51"/>
      <c r="AW153" s="56"/>
      <c r="AX153" s="31"/>
      <c r="AY153" s="31"/>
      <c r="AZ153" s="184"/>
      <c r="BA153" s="150"/>
      <c r="BB153" s="62"/>
      <c r="BC153" s="62"/>
      <c r="BD153" s="62"/>
      <c r="BE153" s="110"/>
      <c r="BF153" s="109"/>
      <c r="BG153" s="62">
        <v>1.18</v>
      </c>
      <c r="BH153" s="62"/>
      <c r="BI153" s="110"/>
      <c r="BJ153" s="426"/>
      <c r="BK153" s="46"/>
      <c r="BL153" s="428"/>
      <c r="BM153" s="61"/>
      <c r="BN153" s="62"/>
      <c r="BO153" s="470"/>
      <c r="BP153" s="64"/>
      <c r="BQ153" s="61"/>
      <c r="BR153" s="65"/>
      <c r="BS153" s="66"/>
      <c r="BT153" s="64"/>
      <c r="BU153" s="61"/>
      <c r="BV153" s="65"/>
      <c r="BW153" s="66"/>
      <c r="BX153" s="431"/>
      <c r="BY153" s="68"/>
      <c r="BZ153" s="69"/>
      <c r="CA153" s="70"/>
      <c r="CB153" s="71"/>
      <c r="CC153" s="72"/>
      <c r="CD153" s="434"/>
      <c r="CE153" s="62"/>
      <c r="CF153" s="73"/>
      <c r="CG153" s="74"/>
      <c r="CH153" s="74"/>
      <c r="CI153" s="74"/>
      <c r="CJ153" s="74"/>
      <c r="CK153" s="74"/>
      <c r="CL153" s="74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31"/>
      <c r="DB153" s="31"/>
      <c r="DC153" s="31"/>
      <c r="DD153" s="31"/>
      <c r="DE153" s="31"/>
      <c r="DF153" s="31"/>
      <c r="DG153" s="134"/>
      <c r="DI153" s="826"/>
      <c r="DJ153" s="788"/>
    </row>
    <row r="154" spans="1:114" s="783" customFormat="1" hidden="1">
      <c r="A154" s="177"/>
      <c r="B154" s="187" t="s">
        <v>312</v>
      </c>
      <c r="C154" s="837" t="s">
        <v>54</v>
      </c>
      <c r="D154" s="31"/>
      <c r="E154" s="31"/>
      <c r="F154" s="31"/>
      <c r="G154" s="31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51"/>
      <c r="Y154" s="55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51"/>
      <c r="AK154" s="56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51"/>
      <c r="AW154" s="56"/>
      <c r="AX154" s="31"/>
      <c r="AY154" s="31">
        <v>2.81</v>
      </c>
      <c r="AZ154" s="184"/>
      <c r="BA154" s="150"/>
      <c r="BB154" s="62"/>
      <c r="BC154" s="62"/>
      <c r="BD154" s="62"/>
      <c r="BE154" s="110"/>
      <c r="BF154" s="109"/>
      <c r="BG154" s="62"/>
      <c r="BH154" s="62"/>
      <c r="BI154" s="110"/>
      <c r="BJ154" s="426"/>
      <c r="BK154" s="46"/>
      <c r="BL154" s="428"/>
      <c r="BM154" s="61"/>
      <c r="BN154" s="62"/>
      <c r="BO154" s="470"/>
      <c r="BP154" s="64"/>
      <c r="BQ154" s="61"/>
      <c r="BR154" s="65"/>
      <c r="BS154" s="66"/>
      <c r="BT154" s="64"/>
      <c r="BU154" s="61"/>
      <c r="BV154" s="65"/>
      <c r="BW154" s="66"/>
      <c r="BX154" s="431"/>
      <c r="BY154" s="68"/>
      <c r="BZ154" s="69"/>
      <c r="CA154" s="70"/>
      <c r="CB154" s="71"/>
      <c r="CC154" s="72"/>
      <c r="CD154" s="434"/>
      <c r="CE154" s="62"/>
      <c r="CF154" s="73"/>
      <c r="CG154" s="74"/>
      <c r="CH154" s="74"/>
      <c r="CI154" s="74"/>
      <c r="CJ154" s="74"/>
      <c r="CK154" s="74"/>
      <c r="CL154" s="74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31"/>
      <c r="DB154" s="31"/>
      <c r="DC154" s="31"/>
      <c r="DD154" s="31"/>
      <c r="DE154" s="31"/>
      <c r="DF154" s="31"/>
      <c r="DG154" s="134"/>
      <c r="DI154" s="826"/>
      <c r="DJ154" s="788"/>
    </row>
    <row r="155" spans="1:114" s="783" customFormat="1" ht="24" hidden="1">
      <c r="A155" s="177"/>
      <c r="B155" s="187" t="s">
        <v>210</v>
      </c>
      <c r="C155" s="837" t="s">
        <v>54</v>
      </c>
      <c r="D155" s="31"/>
      <c r="E155" s="31"/>
      <c r="F155" s="31"/>
      <c r="G155" s="31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51"/>
      <c r="Y155" s="55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51"/>
      <c r="AK155" s="56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51"/>
      <c r="AW155" s="56"/>
      <c r="AX155" s="31"/>
      <c r="AY155" s="31"/>
      <c r="AZ155" s="184"/>
      <c r="BA155" s="150"/>
      <c r="BB155" s="62"/>
      <c r="BC155" s="62"/>
      <c r="BD155" s="62"/>
      <c r="BE155" s="110"/>
      <c r="BF155" s="109"/>
      <c r="BG155" s="62">
        <v>1.72</v>
      </c>
      <c r="BH155" s="62"/>
      <c r="BI155" s="110"/>
      <c r="BJ155" s="426"/>
      <c r="BK155" s="46"/>
      <c r="BL155" s="428"/>
      <c r="BM155" s="61"/>
      <c r="BN155" s="62"/>
      <c r="BO155" s="470"/>
      <c r="BP155" s="64"/>
      <c r="BQ155" s="61"/>
      <c r="BR155" s="65"/>
      <c r="BS155" s="66"/>
      <c r="BT155" s="64"/>
      <c r="BU155" s="61"/>
      <c r="BV155" s="65"/>
      <c r="BW155" s="66"/>
      <c r="BX155" s="431"/>
      <c r="BY155" s="68"/>
      <c r="BZ155" s="69"/>
      <c r="CA155" s="70"/>
      <c r="CB155" s="71"/>
      <c r="CC155" s="72"/>
      <c r="CD155" s="434"/>
      <c r="CE155" s="62"/>
      <c r="CF155" s="73"/>
      <c r="CG155" s="74"/>
      <c r="CH155" s="74"/>
      <c r="CI155" s="74"/>
      <c r="CJ155" s="74"/>
      <c r="CK155" s="74"/>
      <c r="CL155" s="74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31"/>
      <c r="DB155" s="31"/>
      <c r="DC155" s="31"/>
      <c r="DD155" s="31"/>
      <c r="DE155" s="31"/>
      <c r="DF155" s="31"/>
      <c r="DG155" s="134"/>
      <c r="DI155" s="826"/>
      <c r="DJ155" s="788"/>
    </row>
    <row r="156" spans="1:114" s="783" customFormat="1" hidden="1">
      <c r="A156" s="177"/>
      <c r="B156" s="187" t="s">
        <v>10</v>
      </c>
      <c r="C156" s="837" t="s">
        <v>54</v>
      </c>
      <c r="D156" s="31">
        <v>123.56</v>
      </c>
      <c r="E156" s="31">
        <v>88</v>
      </c>
      <c r="F156" s="31">
        <v>88</v>
      </c>
      <c r="G156" s="31">
        <v>88</v>
      </c>
      <c r="H156" s="134"/>
      <c r="I156" s="134">
        <v>111.755</v>
      </c>
      <c r="J156" s="134">
        <v>77.09</v>
      </c>
      <c r="K156" s="134">
        <f>I156-J156</f>
        <v>34.664999999999992</v>
      </c>
      <c r="L156" s="134">
        <f>G156/12</f>
        <v>7.333333333333333</v>
      </c>
      <c r="M156" s="134">
        <v>0.96</v>
      </c>
      <c r="N156" s="134"/>
      <c r="O156" s="134"/>
      <c r="P156" s="134"/>
      <c r="Q156" s="134"/>
      <c r="R156" s="134">
        <f>J156/12</f>
        <v>6.4241666666666672</v>
      </c>
      <c r="S156" s="134"/>
      <c r="T156" s="134">
        <f>K156/12</f>
        <v>2.8887499999999995</v>
      </c>
      <c r="U156" s="134">
        <v>0.29699999999999999</v>
      </c>
      <c r="V156" s="134"/>
      <c r="W156" s="134"/>
      <c r="X156" s="51"/>
      <c r="Y156" s="55"/>
      <c r="Z156" s="134">
        <v>9.31</v>
      </c>
      <c r="AA156" s="134"/>
      <c r="AB156" s="134"/>
      <c r="AC156" s="134"/>
      <c r="AD156" s="134">
        <v>6.42</v>
      </c>
      <c r="AE156" s="134"/>
      <c r="AF156" s="134">
        <v>2.89</v>
      </c>
      <c r="AG156" s="134"/>
      <c r="AH156" s="134"/>
      <c r="AI156" s="134"/>
      <c r="AJ156" s="51"/>
      <c r="AK156" s="56"/>
      <c r="AL156" s="134">
        <v>9.31</v>
      </c>
      <c r="AM156" s="134"/>
      <c r="AN156" s="134"/>
      <c r="AO156" s="134"/>
      <c r="AP156" s="134">
        <v>6.42</v>
      </c>
      <c r="AQ156" s="134"/>
      <c r="AR156" s="134">
        <v>2.89</v>
      </c>
      <c r="AS156" s="134"/>
      <c r="AT156" s="134"/>
      <c r="AU156" s="134"/>
      <c r="AV156" s="51"/>
      <c r="AW156" s="56"/>
      <c r="AX156" s="31">
        <f>G156/2</f>
        <v>44</v>
      </c>
      <c r="AY156" s="31">
        <f>2.82</f>
        <v>2.82</v>
      </c>
      <c r="AZ156" s="184"/>
      <c r="BA156" s="150">
        <v>2.73</v>
      </c>
      <c r="BB156" s="62"/>
      <c r="BC156" s="62">
        <v>0.87</v>
      </c>
      <c r="BD156" s="62"/>
      <c r="BE156" s="110">
        <v>0.18</v>
      </c>
      <c r="BF156" s="109">
        <v>0.08</v>
      </c>
      <c r="BG156" s="62"/>
      <c r="BH156" s="62"/>
      <c r="BI156" s="110"/>
      <c r="BJ156" s="426">
        <f t="shared" si="70"/>
        <v>2.73</v>
      </c>
      <c r="BK156" s="46"/>
      <c r="BL156" s="428"/>
      <c r="BM156" s="61"/>
      <c r="BN156" s="62"/>
      <c r="BO156" s="470"/>
      <c r="BP156" s="64"/>
      <c r="BQ156" s="61"/>
      <c r="BR156" s="65"/>
      <c r="BS156" s="66"/>
      <c r="BT156" s="64"/>
      <c r="BU156" s="61"/>
      <c r="BV156" s="65"/>
      <c r="BW156" s="66"/>
      <c r="BX156" s="431"/>
      <c r="BY156" s="68"/>
      <c r="BZ156" s="69">
        <f>M156+BM156+BQ156+BU156</f>
        <v>0.96</v>
      </c>
      <c r="CA156" s="70"/>
      <c r="CB156" s="71"/>
      <c r="CC156" s="72">
        <f t="shared" ref="CC156:CC171" si="101">BZ156-E156</f>
        <v>-87.04</v>
      </c>
      <c r="CD156" s="434">
        <v>13.77</v>
      </c>
      <c r="CE156" s="62"/>
      <c r="CF156" s="73"/>
      <c r="CG156" s="74"/>
      <c r="CH156" s="74"/>
      <c r="CI156" s="74"/>
      <c r="CJ156" s="74"/>
      <c r="CK156" s="74"/>
      <c r="CL156" s="74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31">
        <v>88</v>
      </c>
      <c r="DB156" s="31">
        <v>88</v>
      </c>
      <c r="DC156" s="31">
        <v>88</v>
      </c>
      <c r="DD156" s="31">
        <v>12.45</v>
      </c>
      <c r="DE156" s="31">
        <v>88</v>
      </c>
      <c r="DF156" s="31">
        <v>44</v>
      </c>
      <c r="DG156" s="134">
        <v>44</v>
      </c>
      <c r="DI156" s="826"/>
      <c r="DJ156" s="788"/>
    </row>
    <row r="157" spans="1:114" s="783" customFormat="1" hidden="1">
      <c r="A157" s="177"/>
      <c r="B157" s="187" t="s">
        <v>179</v>
      </c>
      <c r="C157" s="837" t="s">
        <v>54</v>
      </c>
      <c r="D157" s="31">
        <v>300</v>
      </c>
      <c r="E157" s="31">
        <v>300</v>
      </c>
      <c r="F157" s="31">
        <v>300</v>
      </c>
      <c r="G157" s="31">
        <v>300</v>
      </c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51"/>
      <c r="Y157" s="55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51"/>
      <c r="AK157" s="56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51"/>
      <c r="AW157" s="56"/>
      <c r="AX157" s="31"/>
      <c r="AY157" s="31">
        <v>297.89</v>
      </c>
      <c r="AZ157" s="184"/>
      <c r="BA157" s="150">
        <v>284.88</v>
      </c>
      <c r="BB157" s="62"/>
      <c r="BC157" s="62"/>
      <c r="BD157" s="62"/>
      <c r="BE157" s="110">
        <v>13.01</v>
      </c>
      <c r="BF157" s="109">
        <v>2.11</v>
      </c>
      <c r="BG157" s="62"/>
      <c r="BH157" s="62"/>
      <c r="BI157" s="110"/>
      <c r="BJ157" s="426"/>
      <c r="BK157" s="46"/>
      <c r="BL157" s="428"/>
      <c r="BM157" s="61"/>
      <c r="BN157" s="62"/>
      <c r="BO157" s="470"/>
      <c r="BP157" s="64"/>
      <c r="BQ157" s="61"/>
      <c r="BR157" s="65"/>
      <c r="BS157" s="66"/>
      <c r="BT157" s="64"/>
      <c r="BU157" s="61"/>
      <c r="BV157" s="65"/>
      <c r="BW157" s="66"/>
      <c r="BX157" s="431"/>
      <c r="BY157" s="68"/>
      <c r="BZ157" s="69"/>
      <c r="CA157" s="70"/>
      <c r="CB157" s="71"/>
      <c r="CC157" s="72"/>
      <c r="CD157" s="434"/>
      <c r="CE157" s="62"/>
      <c r="CF157" s="73"/>
      <c r="CG157" s="74"/>
      <c r="CH157" s="74"/>
      <c r="CI157" s="74"/>
      <c r="CJ157" s="74"/>
      <c r="CK157" s="74"/>
      <c r="CL157" s="74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31">
        <v>300</v>
      </c>
      <c r="DB157" s="31">
        <v>300</v>
      </c>
      <c r="DC157" s="31">
        <v>300</v>
      </c>
      <c r="DD157" s="31">
        <v>300</v>
      </c>
      <c r="DE157" s="31">
        <v>300</v>
      </c>
      <c r="DF157" s="31">
        <v>150</v>
      </c>
      <c r="DG157" s="134">
        <v>150</v>
      </c>
      <c r="DI157" s="826"/>
      <c r="DJ157" s="788"/>
    </row>
    <row r="158" spans="1:114" s="783" customFormat="1" hidden="1">
      <c r="A158" s="177"/>
      <c r="B158" s="187" t="s">
        <v>60</v>
      </c>
      <c r="C158" s="837" t="s">
        <v>54</v>
      </c>
      <c r="D158" s="31">
        <v>8.94</v>
      </c>
      <c r="E158" s="31">
        <v>9</v>
      </c>
      <c r="F158" s="31">
        <v>9</v>
      </c>
      <c r="G158" s="31">
        <v>9</v>
      </c>
      <c r="H158" s="134"/>
      <c r="I158" s="134"/>
      <c r="J158" s="134"/>
      <c r="K158" s="134"/>
      <c r="L158" s="134"/>
      <c r="M158" s="134">
        <v>0.18</v>
      </c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51"/>
      <c r="Y158" s="55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51"/>
      <c r="AK158" s="56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51"/>
      <c r="AW158" s="56"/>
      <c r="AX158" s="31"/>
      <c r="AY158" s="31">
        <f>14.72+4.79</f>
        <v>19.510000000000002</v>
      </c>
      <c r="AZ158" s="184"/>
      <c r="BA158" s="62"/>
      <c r="BB158" s="62"/>
      <c r="BC158" s="62"/>
      <c r="BD158" s="62"/>
      <c r="BE158" s="110"/>
      <c r="BF158" s="109"/>
      <c r="BG158" s="62"/>
      <c r="BH158" s="62"/>
      <c r="BI158" s="110"/>
      <c r="BJ158" s="426">
        <f t="shared" si="70"/>
        <v>0</v>
      </c>
      <c r="BK158" s="46"/>
      <c r="BL158" s="428"/>
      <c r="BM158" s="61"/>
      <c r="BN158" s="62"/>
      <c r="BO158" s="470"/>
      <c r="BP158" s="64"/>
      <c r="BQ158" s="61"/>
      <c r="BR158" s="65"/>
      <c r="BS158" s="66"/>
      <c r="BT158" s="64"/>
      <c r="BU158" s="61"/>
      <c r="BV158" s="65"/>
      <c r="BW158" s="66"/>
      <c r="BX158" s="431"/>
      <c r="BY158" s="68"/>
      <c r="BZ158" s="69">
        <f>M158+BM158+BQ158+BU158</f>
        <v>0.18</v>
      </c>
      <c r="CA158" s="70"/>
      <c r="CB158" s="71"/>
      <c r="CC158" s="72">
        <f t="shared" si="101"/>
        <v>-8.82</v>
      </c>
      <c r="CD158" s="434">
        <v>20.92</v>
      </c>
      <c r="CE158" s="62"/>
      <c r="CF158" s="73"/>
      <c r="CG158" s="74"/>
      <c r="CH158" s="74"/>
      <c r="CI158" s="74"/>
      <c r="CJ158" s="74"/>
      <c r="CK158" s="74"/>
      <c r="CL158" s="74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31"/>
      <c r="DB158" s="31"/>
      <c r="DC158" s="31">
        <v>20</v>
      </c>
      <c r="DD158" s="31">
        <v>4</v>
      </c>
      <c r="DE158" s="31">
        <v>20</v>
      </c>
      <c r="DF158" s="31">
        <v>10</v>
      </c>
      <c r="DG158" s="134">
        <v>10</v>
      </c>
      <c r="DI158" s="826"/>
      <c r="DJ158" s="788"/>
    </row>
    <row r="159" spans="1:114" s="783" customFormat="1" hidden="1">
      <c r="A159" s="177"/>
      <c r="B159" s="187" t="s">
        <v>199</v>
      </c>
      <c r="C159" s="837" t="s">
        <v>54</v>
      </c>
      <c r="D159" s="31"/>
      <c r="E159" s="31"/>
      <c r="F159" s="31"/>
      <c r="G159" s="31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51"/>
      <c r="Y159" s="55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51"/>
      <c r="AK159" s="56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51"/>
      <c r="AW159" s="56"/>
      <c r="AX159" s="31"/>
      <c r="AY159" s="31"/>
      <c r="AZ159" s="184"/>
      <c r="BA159" s="62"/>
      <c r="BB159" s="62"/>
      <c r="BC159" s="62"/>
      <c r="BD159" s="62"/>
      <c r="BE159" s="110"/>
      <c r="BF159" s="109"/>
      <c r="BG159" s="62">
        <v>6.32</v>
      </c>
      <c r="BH159" s="62"/>
      <c r="BI159" s="110"/>
      <c r="BJ159" s="426"/>
      <c r="BK159" s="46"/>
      <c r="BL159" s="428"/>
      <c r="BM159" s="61"/>
      <c r="BN159" s="62"/>
      <c r="BO159" s="470"/>
      <c r="BP159" s="64"/>
      <c r="BQ159" s="61"/>
      <c r="BR159" s="65"/>
      <c r="BS159" s="66"/>
      <c r="BT159" s="64"/>
      <c r="BU159" s="61"/>
      <c r="BV159" s="65"/>
      <c r="BW159" s="66"/>
      <c r="BX159" s="431"/>
      <c r="BY159" s="68"/>
      <c r="BZ159" s="69"/>
      <c r="CA159" s="70"/>
      <c r="CB159" s="71"/>
      <c r="CC159" s="72"/>
      <c r="CD159" s="434"/>
      <c r="CE159" s="62"/>
      <c r="CF159" s="73"/>
      <c r="CG159" s="74"/>
      <c r="CH159" s="74"/>
      <c r="CI159" s="74"/>
      <c r="CJ159" s="74"/>
      <c r="CK159" s="74"/>
      <c r="CL159" s="74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31"/>
      <c r="DB159" s="31"/>
      <c r="DC159" s="31"/>
      <c r="DD159" s="31"/>
      <c r="DE159" s="31"/>
      <c r="DF159" s="31"/>
      <c r="DG159" s="134"/>
      <c r="DI159" s="826"/>
      <c r="DJ159" s="788"/>
    </row>
    <row r="160" spans="1:114" s="783" customFormat="1" ht="24" hidden="1">
      <c r="A160" s="177"/>
      <c r="B160" s="187" t="s">
        <v>211</v>
      </c>
      <c r="C160" s="837" t="s">
        <v>54</v>
      </c>
      <c r="D160" s="31"/>
      <c r="E160" s="31"/>
      <c r="F160" s="31"/>
      <c r="G160" s="31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51"/>
      <c r="Y160" s="55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51"/>
      <c r="AK160" s="56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51"/>
      <c r="AW160" s="56"/>
      <c r="AX160" s="31"/>
      <c r="AY160" s="31"/>
      <c r="AZ160" s="184"/>
      <c r="BA160" s="62"/>
      <c r="BB160" s="62"/>
      <c r="BC160" s="62"/>
      <c r="BD160" s="62"/>
      <c r="BE160" s="110"/>
      <c r="BF160" s="109"/>
      <c r="BG160" s="62">
        <v>9</v>
      </c>
      <c r="BH160" s="62"/>
      <c r="BI160" s="110"/>
      <c r="BJ160" s="426"/>
      <c r="BK160" s="46"/>
      <c r="BL160" s="428"/>
      <c r="BM160" s="61"/>
      <c r="BN160" s="62"/>
      <c r="BO160" s="470"/>
      <c r="BP160" s="64"/>
      <c r="BQ160" s="61"/>
      <c r="BR160" s="65"/>
      <c r="BS160" s="66"/>
      <c r="BT160" s="64"/>
      <c r="BU160" s="61"/>
      <c r="BV160" s="65"/>
      <c r="BW160" s="66"/>
      <c r="BX160" s="431"/>
      <c r="BY160" s="68"/>
      <c r="BZ160" s="69"/>
      <c r="CA160" s="70"/>
      <c r="CB160" s="71"/>
      <c r="CC160" s="72"/>
      <c r="CD160" s="434"/>
      <c r="CE160" s="62"/>
      <c r="CF160" s="73"/>
      <c r="CG160" s="74"/>
      <c r="CH160" s="74"/>
      <c r="CI160" s="74"/>
      <c r="CJ160" s="74"/>
      <c r="CK160" s="74"/>
      <c r="CL160" s="74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31">
        <v>9</v>
      </c>
      <c r="DB160" s="31">
        <v>9</v>
      </c>
      <c r="DC160" s="31"/>
      <c r="DD160" s="31"/>
      <c r="DE160" s="31"/>
      <c r="DF160" s="31"/>
      <c r="DG160" s="134"/>
      <c r="DI160" s="826"/>
      <c r="DJ160" s="788"/>
    </row>
    <row r="161" spans="1:114" s="783" customFormat="1" hidden="1">
      <c r="A161" s="177"/>
      <c r="B161" s="187" t="s">
        <v>198</v>
      </c>
      <c r="C161" s="837" t="s">
        <v>54</v>
      </c>
      <c r="D161" s="31"/>
      <c r="E161" s="31"/>
      <c r="F161" s="31"/>
      <c r="G161" s="31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51"/>
      <c r="Y161" s="55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51"/>
      <c r="AK161" s="56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51"/>
      <c r="AW161" s="56"/>
      <c r="AX161" s="31"/>
      <c r="AY161" s="31"/>
      <c r="AZ161" s="184"/>
      <c r="BA161" s="62"/>
      <c r="BB161" s="62"/>
      <c r="BC161" s="62"/>
      <c r="BD161" s="62"/>
      <c r="BE161" s="110"/>
      <c r="BF161" s="109"/>
      <c r="BG161" s="62">
        <v>3.56</v>
      </c>
      <c r="BH161" s="62"/>
      <c r="BI161" s="110"/>
      <c r="BJ161" s="426"/>
      <c r="BK161" s="46"/>
      <c r="BL161" s="428"/>
      <c r="BM161" s="61"/>
      <c r="BN161" s="62"/>
      <c r="BO161" s="470"/>
      <c r="BP161" s="64"/>
      <c r="BQ161" s="61"/>
      <c r="BR161" s="65"/>
      <c r="BS161" s="66"/>
      <c r="BT161" s="64"/>
      <c r="BU161" s="61"/>
      <c r="BV161" s="65"/>
      <c r="BW161" s="66"/>
      <c r="BX161" s="431"/>
      <c r="BY161" s="68"/>
      <c r="BZ161" s="69"/>
      <c r="CA161" s="70"/>
      <c r="CB161" s="71"/>
      <c r="CC161" s="72"/>
      <c r="CD161" s="434"/>
      <c r="CE161" s="62"/>
      <c r="CF161" s="73"/>
      <c r="CG161" s="74"/>
      <c r="CH161" s="74"/>
      <c r="CI161" s="74"/>
      <c r="CJ161" s="74"/>
      <c r="CK161" s="74"/>
      <c r="CL161" s="74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31"/>
      <c r="DB161" s="31"/>
      <c r="DC161" s="31"/>
      <c r="DD161" s="31"/>
      <c r="DE161" s="31"/>
      <c r="DF161" s="31"/>
      <c r="DG161" s="134"/>
      <c r="DI161" s="826"/>
      <c r="DJ161" s="788"/>
    </row>
    <row r="162" spans="1:114" s="783" customFormat="1" hidden="1">
      <c r="A162" s="177"/>
      <c r="B162" s="187" t="s">
        <v>230</v>
      </c>
      <c r="C162" s="837" t="s">
        <v>54</v>
      </c>
      <c r="D162" s="31"/>
      <c r="E162" s="31"/>
      <c r="F162" s="31"/>
      <c r="G162" s="31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51"/>
      <c r="Y162" s="55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51"/>
      <c r="AK162" s="56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51"/>
      <c r="AW162" s="56"/>
      <c r="AX162" s="31"/>
      <c r="AY162" s="31"/>
      <c r="AZ162" s="184"/>
      <c r="BA162" s="62"/>
      <c r="BB162" s="62"/>
      <c r="BC162" s="62"/>
      <c r="BD162" s="62"/>
      <c r="BE162" s="110"/>
      <c r="BF162" s="109"/>
      <c r="BG162" s="62">
        <v>3.93</v>
      </c>
      <c r="BH162" s="62"/>
      <c r="BI162" s="110"/>
      <c r="BJ162" s="426"/>
      <c r="BK162" s="46"/>
      <c r="BL162" s="428"/>
      <c r="BM162" s="61"/>
      <c r="BN162" s="62"/>
      <c r="BO162" s="470"/>
      <c r="BP162" s="64"/>
      <c r="BQ162" s="61"/>
      <c r="BR162" s="65"/>
      <c r="BS162" s="66"/>
      <c r="BT162" s="64"/>
      <c r="BU162" s="61"/>
      <c r="BV162" s="65"/>
      <c r="BW162" s="66"/>
      <c r="BX162" s="431"/>
      <c r="BY162" s="68"/>
      <c r="BZ162" s="69"/>
      <c r="CA162" s="70"/>
      <c r="CB162" s="71"/>
      <c r="CC162" s="72"/>
      <c r="CD162" s="434"/>
      <c r="CE162" s="62"/>
      <c r="CF162" s="73"/>
      <c r="CG162" s="74"/>
      <c r="CH162" s="74"/>
      <c r="CI162" s="74"/>
      <c r="CJ162" s="74"/>
      <c r="CK162" s="74"/>
      <c r="CL162" s="74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31"/>
      <c r="DB162" s="31"/>
      <c r="DC162" s="31"/>
      <c r="DD162" s="31"/>
      <c r="DE162" s="31"/>
      <c r="DF162" s="31"/>
      <c r="DG162" s="134"/>
      <c r="DI162" s="826"/>
      <c r="DJ162" s="788"/>
    </row>
    <row r="163" spans="1:114" s="783" customFormat="1" hidden="1">
      <c r="A163" s="177"/>
      <c r="B163" s="187" t="s">
        <v>180</v>
      </c>
      <c r="C163" s="837" t="s">
        <v>54</v>
      </c>
      <c r="D163" s="31">
        <v>130.36000000000001</v>
      </c>
      <c r="E163" s="31"/>
      <c r="F163" s="31"/>
      <c r="G163" s="31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51"/>
      <c r="Y163" s="55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51"/>
      <c r="AK163" s="56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51"/>
      <c r="AW163" s="56"/>
      <c r="AX163" s="31"/>
      <c r="AY163" s="31"/>
      <c r="AZ163" s="184"/>
      <c r="BA163" s="62"/>
      <c r="BB163" s="62"/>
      <c r="BC163" s="62"/>
      <c r="BD163" s="62"/>
      <c r="BE163" s="110"/>
      <c r="BF163" s="109"/>
      <c r="BG163" s="62"/>
      <c r="BH163" s="62"/>
      <c r="BI163" s="110"/>
      <c r="BJ163" s="426"/>
      <c r="BK163" s="46"/>
      <c r="BL163" s="428"/>
      <c r="BM163" s="61"/>
      <c r="BN163" s="62"/>
      <c r="BO163" s="470"/>
      <c r="BP163" s="64"/>
      <c r="BQ163" s="61"/>
      <c r="BR163" s="65"/>
      <c r="BS163" s="66"/>
      <c r="BT163" s="64"/>
      <c r="BU163" s="61"/>
      <c r="BV163" s="65"/>
      <c r="BW163" s="66"/>
      <c r="BX163" s="431"/>
      <c r="BY163" s="68"/>
      <c r="BZ163" s="69"/>
      <c r="CA163" s="70"/>
      <c r="CB163" s="71"/>
      <c r="CC163" s="72"/>
      <c r="CD163" s="434"/>
      <c r="CE163" s="62"/>
      <c r="CF163" s="73"/>
      <c r="CG163" s="74"/>
      <c r="CH163" s="74"/>
      <c r="CI163" s="74"/>
      <c r="CJ163" s="74"/>
      <c r="CK163" s="74"/>
      <c r="CL163" s="74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31"/>
      <c r="DB163" s="31"/>
      <c r="DC163" s="31"/>
      <c r="DD163" s="31"/>
      <c r="DE163" s="31"/>
      <c r="DF163" s="31"/>
      <c r="DG163" s="134"/>
      <c r="DI163" s="826"/>
      <c r="DJ163" s="788"/>
    </row>
    <row r="164" spans="1:114" s="783" customFormat="1" hidden="1">
      <c r="A164" s="177"/>
      <c r="B164" s="187" t="s">
        <v>248</v>
      </c>
      <c r="C164" s="837" t="s">
        <v>54</v>
      </c>
      <c r="D164" s="31"/>
      <c r="E164" s="31">
        <v>1.2</v>
      </c>
      <c r="F164" s="31">
        <v>1.2</v>
      </c>
      <c r="G164" s="31">
        <v>1.2</v>
      </c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51"/>
      <c r="Y164" s="55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51"/>
      <c r="AK164" s="56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51"/>
      <c r="AW164" s="56"/>
      <c r="AX164" s="31"/>
      <c r="AY164" s="31"/>
      <c r="AZ164" s="184"/>
      <c r="BA164" s="62"/>
      <c r="BB164" s="62"/>
      <c r="BC164" s="62"/>
      <c r="BD164" s="62"/>
      <c r="BE164" s="110"/>
      <c r="BF164" s="109"/>
      <c r="BG164" s="62"/>
      <c r="BH164" s="62"/>
      <c r="BI164" s="110"/>
      <c r="BJ164" s="426"/>
      <c r="BK164" s="46"/>
      <c r="BL164" s="428"/>
      <c r="BM164" s="61"/>
      <c r="BN164" s="62"/>
      <c r="BO164" s="470"/>
      <c r="BP164" s="64"/>
      <c r="BQ164" s="61"/>
      <c r="BR164" s="65"/>
      <c r="BS164" s="66"/>
      <c r="BT164" s="64"/>
      <c r="BU164" s="61"/>
      <c r="BV164" s="65"/>
      <c r="BW164" s="66"/>
      <c r="BX164" s="431"/>
      <c r="BY164" s="68"/>
      <c r="BZ164" s="69"/>
      <c r="CA164" s="70"/>
      <c r="CB164" s="71"/>
      <c r="CC164" s="72"/>
      <c r="CD164" s="434"/>
      <c r="CE164" s="62"/>
      <c r="CF164" s="73"/>
      <c r="CG164" s="74"/>
      <c r="CH164" s="74"/>
      <c r="CI164" s="74"/>
      <c r="CJ164" s="74"/>
      <c r="CK164" s="74"/>
      <c r="CL164" s="74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31">
        <v>1.2</v>
      </c>
      <c r="DB164" s="31">
        <v>1.2</v>
      </c>
      <c r="DC164" s="31">
        <v>1.2</v>
      </c>
      <c r="DD164" s="31">
        <v>1.2</v>
      </c>
      <c r="DE164" s="31">
        <v>1.2</v>
      </c>
      <c r="DF164" s="31">
        <v>0.6</v>
      </c>
      <c r="DG164" s="134">
        <v>0.6</v>
      </c>
      <c r="DI164" s="826"/>
      <c r="DJ164" s="788"/>
    </row>
    <row r="165" spans="1:114" s="783" customFormat="1" hidden="1">
      <c r="A165" s="177"/>
      <c r="B165" s="187" t="s">
        <v>19</v>
      </c>
      <c r="C165" s="837" t="s">
        <v>54</v>
      </c>
      <c r="D165" s="31">
        <v>14</v>
      </c>
      <c r="E165" s="31">
        <v>54</v>
      </c>
      <c r="F165" s="31">
        <v>54</v>
      </c>
      <c r="G165" s="31">
        <v>54</v>
      </c>
      <c r="H165" s="134"/>
      <c r="I165" s="134">
        <f>22.7+1.72</f>
        <v>24.419999999999998</v>
      </c>
      <c r="J165" s="134">
        <v>10.35</v>
      </c>
      <c r="K165" s="134">
        <f>I165-J165</f>
        <v>14.069999999999999</v>
      </c>
      <c r="L165" s="134">
        <f>G165/12</f>
        <v>4.5</v>
      </c>
      <c r="M165" s="134"/>
      <c r="N165" s="134"/>
      <c r="O165" s="134"/>
      <c r="P165" s="134"/>
      <c r="Q165" s="134"/>
      <c r="R165" s="134">
        <f>J165/12</f>
        <v>0.86249999999999993</v>
      </c>
      <c r="S165" s="134"/>
      <c r="T165" s="134">
        <f>K165/12</f>
        <v>1.1724999999999999</v>
      </c>
      <c r="U165" s="134"/>
      <c r="V165" s="134"/>
      <c r="W165" s="134"/>
      <c r="X165" s="51"/>
      <c r="Y165" s="55"/>
      <c r="Z165" s="134">
        <v>2.04</v>
      </c>
      <c r="AA165" s="134">
        <v>10.07</v>
      </c>
      <c r="AB165" s="134"/>
      <c r="AC165" s="134"/>
      <c r="AD165" s="134">
        <v>0.86</v>
      </c>
      <c r="AE165" s="134"/>
      <c r="AF165" s="134">
        <v>1.17</v>
      </c>
      <c r="AG165" s="134"/>
      <c r="AH165" s="134"/>
      <c r="AI165" s="134"/>
      <c r="AJ165" s="51"/>
      <c r="AK165" s="56"/>
      <c r="AL165" s="134">
        <v>2.04</v>
      </c>
      <c r="AM165" s="134">
        <v>10.07</v>
      </c>
      <c r="AN165" s="134"/>
      <c r="AO165" s="134"/>
      <c r="AP165" s="134">
        <v>0.86</v>
      </c>
      <c r="AQ165" s="134"/>
      <c r="AR165" s="134">
        <v>1.17</v>
      </c>
      <c r="AS165" s="134"/>
      <c r="AT165" s="134"/>
      <c r="AU165" s="134"/>
      <c r="AV165" s="51"/>
      <c r="AW165" s="56"/>
      <c r="AX165" s="31">
        <f>G165/2</f>
        <v>27</v>
      </c>
      <c r="AY165" s="31">
        <v>67.34</v>
      </c>
      <c r="AZ165" s="184"/>
      <c r="BA165" s="62">
        <v>4.46</v>
      </c>
      <c r="BB165" s="62"/>
      <c r="BC165" s="62">
        <v>8.6999999999999993</v>
      </c>
      <c r="BD165" s="62"/>
      <c r="BE165" s="110">
        <v>0.84</v>
      </c>
      <c r="BF165" s="109">
        <v>15.12</v>
      </c>
      <c r="BG165" s="62">
        <v>24.31</v>
      </c>
      <c r="BH165" s="62"/>
      <c r="BI165" s="110"/>
      <c r="BJ165" s="426">
        <f>BA165-AZ165</f>
        <v>4.46</v>
      </c>
      <c r="BK165" s="46"/>
      <c r="BL165" s="428"/>
      <c r="BM165" s="61">
        <v>10.071</v>
      </c>
      <c r="BN165" s="62"/>
      <c r="BO165" s="470"/>
      <c r="BP165" s="64"/>
      <c r="BQ165" s="61"/>
      <c r="BR165" s="65"/>
      <c r="BS165" s="66"/>
      <c r="BT165" s="64"/>
      <c r="BU165" s="61"/>
      <c r="BV165" s="65"/>
      <c r="BW165" s="66"/>
      <c r="BX165" s="431"/>
      <c r="BY165" s="68"/>
      <c r="BZ165" s="69">
        <f>M165+BM165+BQ165+BU165</f>
        <v>10.071</v>
      </c>
      <c r="CA165" s="70"/>
      <c r="CB165" s="71"/>
      <c r="CC165" s="72">
        <f t="shared" si="101"/>
        <v>-43.929000000000002</v>
      </c>
      <c r="CD165" s="434">
        <v>41.02</v>
      </c>
      <c r="CE165" s="62"/>
      <c r="CF165" s="73"/>
      <c r="CG165" s="74"/>
      <c r="CH165" s="74"/>
      <c r="CI165" s="74"/>
      <c r="CJ165" s="74"/>
      <c r="CK165" s="74"/>
      <c r="CL165" s="74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31">
        <v>54</v>
      </c>
      <c r="DB165" s="31">
        <v>54</v>
      </c>
      <c r="DC165" s="31">
        <v>54</v>
      </c>
      <c r="DD165" s="31">
        <v>35.450000000000003</v>
      </c>
      <c r="DE165" s="31">
        <v>54</v>
      </c>
      <c r="DF165" s="31">
        <v>27</v>
      </c>
      <c r="DG165" s="134">
        <v>27</v>
      </c>
      <c r="DI165" s="826"/>
      <c r="DJ165" s="788"/>
    </row>
    <row r="166" spans="1:114" s="783" customFormat="1">
      <c r="A166" s="208" t="s">
        <v>264</v>
      </c>
      <c r="B166" s="160" t="s">
        <v>181</v>
      </c>
      <c r="C166" s="833" t="s">
        <v>54</v>
      </c>
      <c r="D166" s="117">
        <f>SUM(D50,D135)</f>
        <v>33808.421579999995</v>
      </c>
      <c r="E166" s="117">
        <f>SUM(E50,E135)</f>
        <v>36523.591580000008</v>
      </c>
      <c r="F166" s="117">
        <f>SUM(F50,F135)</f>
        <v>37886.297090000007</v>
      </c>
      <c r="G166" s="117">
        <f>SUM(G50,G135)</f>
        <v>37886.301749999999</v>
      </c>
      <c r="H166" s="117" t="e">
        <f t="shared" ref="H166:O166" si="102">H50+H135</f>
        <v>#REF!</v>
      </c>
      <c r="I166" s="117" t="e">
        <f t="shared" si="102"/>
        <v>#REF!</v>
      </c>
      <c r="J166" s="117" t="e">
        <f t="shared" si="102"/>
        <v>#REF!</v>
      </c>
      <c r="K166" s="117" t="e">
        <f t="shared" si="102"/>
        <v>#REF!</v>
      </c>
      <c r="L166" s="117" t="e">
        <f t="shared" si="102"/>
        <v>#REF!</v>
      </c>
      <c r="M166" s="117" t="e">
        <f t="shared" si="102"/>
        <v>#REF!</v>
      </c>
      <c r="N166" s="117" t="e">
        <f t="shared" si="102"/>
        <v>#REF!</v>
      </c>
      <c r="O166" s="117" t="e">
        <f t="shared" si="102"/>
        <v>#REF!</v>
      </c>
      <c r="P166" s="117" t="e">
        <f>P135+P50</f>
        <v>#REF!</v>
      </c>
      <c r="Q166" s="117" t="e">
        <f>Q135+Q50</f>
        <v>#REF!</v>
      </c>
      <c r="R166" s="117" t="e">
        <f>R50+R135</f>
        <v>#REF!</v>
      </c>
      <c r="S166" s="117" t="e">
        <f>S50+S135</f>
        <v>#REF!</v>
      </c>
      <c r="T166" s="117" t="e">
        <f>T50+T135</f>
        <v>#REF!</v>
      </c>
      <c r="U166" s="117" t="e">
        <f>U50+U135</f>
        <v>#REF!</v>
      </c>
      <c r="V166" s="117" t="e">
        <f>V135+V50</f>
        <v>#REF!</v>
      </c>
      <c r="W166" s="117"/>
      <c r="X166" s="209" t="e">
        <f t="shared" ref="X166:X173" si="103">O166-N166</f>
        <v>#REF!</v>
      </c>
      <c r="Y166" s="210" t="e">
        <f t="shared" ref="Y166:Y173" si="104">O166/N166</f>
        <v>#REF!</v>
      </c>
      <c r="Z166" s="117" t="e">
        <f t="shared" ref="Z166:AG166" si="105">Z50+Z135</f>
        <v>#REF!</v>
      </c>
      <c r="AA166" s="117" t="e">
        <f t="shared" si="105"/>
        <v>#REF!</v>
      </c>
      <c r="AB166" s="117" t="e">
        <f t="shared" si="105"/>
        <v>#REF!</v>
      </c>
      <c r="AC166" s="117" t="e">
        <f t="shared" si="105"/>
        <v>#REF!</v>
      </c>
      <c r="AD166" s="117" t="e">
        <f t="shared" si="105"/>
        <v>#REF!</v>
      </c>
      <c r="AE166" s="117" t="e">
        <f t="shared" si="105"/>
        <v>#REF!</v>
      </c>
      <c r="AF166" s="117" t="e">
        <f t="shared" si="105"/>
        <v>#REF!</v>
      </c>
      <c r="AG166" s="117" t="e">
        <f t="shared" si="105"/>
        <v>#REF!</v>
      </c>
      <c r="AH166" s="117" t="e">
        <f>AH135+AH50</f>
        <v>#REF!</v>
      </c>
      <c r="AI166" s="117"/>
      <c r="AJ166" s="209" t="e">
        <f t="shared" ref="AJ166:AJ173" si="106">AC166-AB166</f>
        <v>#REF!</v>
      </c>
      <c r="AK166" s="211" t="e">
        <f t="shared" ref="AK166:AK173" si="107">AC166/AB166</f>
        <v>#REF!</v>
      </c>
      <c r="AL166" s="117" t="e">
        <f t="shared" ref="AL166:AS166" si="108">AL50+AL135</f>
        <v>#REF!</v>
      </c>
      <c r="AM166" s="117" t="e">
        <f t="shared" si="108"/>
        <v>#REF!</v>
      </c>
      <c r="AN166" s="117" t="e">
        <f t="shared" si="108"/>
        <v>#REF!</v>
      </c>
      <c r="AO166" s="117" t="e">
        <f t="shared" si="108"/>
        <v>#REF!</v>
      </c>
      <c r="AP166" s="117" t="e">
        <f t="shared" si="108"/>
        <v>#REF!</v>
      </c>
      <c r="AQ166" s="117" t="e">
        <f t="shared" si="108"/>
        <v>#REF!</v>
      </c>
      <c r="AR166" s="117" t="e">
        <f t="shared" si="108"/>
        <v>#REF!</v>
      </c>
      <c r="AS166" s="117" t="e">
        <f t="shared" si="108"/>
        <v>#REF!</v>
      </c>
      <c r="AT166" s="117" t="e">
        <f>AT135+AT50</f>
        <v>#REF!</v>
      </c>
      <c r="AU166" s="117"/>
      <c r="AV166" s="209" t="e">
        <f t="shared" ref="AV166:AV173" si="109">AO166-AN166</f>
        <v>#REF!</v>
      </c>
      <c r="AW166" s="211" t="e">
        <f t="shared" ref="AW166:AW173" si="110">AO166/AN166</f>
        <v>#REF!</v>
      </c>
      <c r="AX166" s="117">
        <f>G166/2</f>
        <v>18943.150874999999</v>
      </c>
      <c r="AY166" s="117">
        <f>AY50+AY135</f>
        <v>30442.689999999995</v>
      </c>
      <c r="AZ166" s="121" t="e">
        <f>AZ50+AZ135</f>
        <v>#REF!</v>
      </c>
      <c r="BA166" s="122">
        <f t="shared" ref="BA166:BG166" si="111">SUM(BA50,BA135)</f>
        <v>14196.910000000002</v>
      </c>
      <c r="BB166" s="122">
        <f t="shared" si="111"/>
        <v>63.75</v>
      </c>
      <c r="BC166" s="122">
        <f t="shared" si="111"/>
        <v>8373.6200000000008</v>
      </c>
      <c r="BD166" s="122">
        <f t="shared" si="111"/>
        <v>0</v>
      </c>
      <c r="BE166" s="123">
        <f t="shared" si="111"/>
        <v>2178.5</v>
      </c>
      <c r="BF166" s="121">
        <f t="shared" si="111"/>
        <v>1240.36139</v>
      </c>
      <c r="BG166" s="122">
        <f t="shared" si="111"/>
        <v>1182.3069700000001</v>
      </c>
      <c r="BH166" s="122"/>
      <c r="BI166" s="123"/>
      <c r="BJ166" s="288" t="e">
        <f>BA166-AZ166</f>
        <v>#REF!</v>
      </c>
      <c r="BK166" s="515" t="e">
        <f t="shared" ref="BK166:BK173" si="112">BA166/AZ166</f>
        <v>#REF!</v>
      </c>
      <c r="BL166" s="408"/>
      <c r="BM166" s="516" t="e">
        <f>BM50+BM135</f>
        <v>#REF!</v>
      </c>
      <c r="BN166" s="122"/>
      <c r="BO166" s="409"/>
      <c r="BP166" s="448"/>
      <c r="BQ166" s="516"/>
      <c r="BR166" s="517"/>
      <c r="BS166" s="518"/>
      <c r="BT166" s="448"/>
      <c r="BU166" s="516"/>
      <c r="BV166" s="517"/>
      <c r="BW166" s="518"/>
      <c r="BX166" s="411" t="e">
        <f>BX50+BX135</f>
        <v>#REF!</v>
      </c>
      <c r="BY166" s="449">
        <f t="shared" ref="BY166:BY173" si="113">F166</f>
        <v>37886.297090000007</v>
      </c>
      <c r="BZ166" s="209" t="e">
        <f>M166+BM166+BQ166+BU166</f>
        <v>#REF!</v>
      </c>
      <c r="CA166" s="516" t="e">
        <f t="shared" ref="CA166:CA173" si="114">BZ166-BY166</f>
        <v>#REF!</v>
      </c>
      <c r="CB166" s="515" t="e">
        <f t="shared" ref="CB166:CB173" si="115">BZ166/BY166</f>
        <v>#REF!</v>
      </c>
      <c r="CC166" s="444" t="e">
        <f t="shared" si="101"/>
        <v>#REF!</v>
      </c>
      <c r="CD166" s="415" t="e">
        <f>CD50+CD135</f>
        <v>#REF!</v>
      </c>
      <c r="CE166" s="122" t="e">
        <f>CE50+CE135</f>
        <v>#REF!</v>
      </c>
      <c r="CF166" s="519">
        <v>0</v>
      </c>
      <c r="CG166" s="450"/>
      <c r="CH166" s="450"/>
      <c r="CI166" s="450"/>
      <c r="CJ166" s="450"/>
      <c r="CK166" s="450"/>
      <c r="CL166" s="450"/>
      <c r="CM166" s="451"/>
      <c r="CN166" s="451"/>
      <c r="CO166" s="451"/>
      <c r="CP166" s="451"/>
      <c r="CQ166" s="451"/>
      <c r="CR166" s="451"/>
      <c r="CS166" s="451"/>
      <c r="CT166" s="451"/>
      <c r="CU166" s="451"/>
      <c r="CV166" s="451"/>
      <c r="CW166" s="451"/>
      <c r="CX166" s="451"/>
      <c r="CY166" s="451"/>
      <c r="CZ166" s="451"/>
      <c r="DA166" s="117" t="e">
        <f>DA50+DA135</f>
        <v>#REF!</v>
      </c>
      <c r="DB166" s="117">
        <f>DB50+DB135</f>
        <v>39337.333720000002</v>
      </c>
      <c r="DC166" s="117">
        <f>SUM(DC50,DC135)</f>
        <v>37103.334749999995</v>
      </c>
      <c r="DD166" s="117">
        <f>SUM(DD50,DD135)</f>
        <v>33226.571749999996</v>
      </c>
      <c r="DE166" s="117">
        <f>SUM(DE50,DE135)</f>
        <v>37962.803719999996</v>
      </c>
      <c r="DF166" s="117">
        <f>SUM(DF50,DF135)</f>
        <v>18631.415985</v>
      </c>
      <c r="DG166" s="117">
        <f>SUM(DG50,DG135)</f>
        <v>19331.385985000001</v>
      </c>
      <c r="DI166" s="826"/>
      <c r="DJ166" s="788"/>
    </row>
    <row r="167" spans="1:114" s="783" customFormat="1" ht="12" customHeight="1">
      <c r="A167" s="208" t="s">
        <v>265</v>
      </c>
      <c r="B167" s="220" t="s">
        <v>342</v>
      </c>
      <c r="C167" s="833" t="s">
        <v>54</v>
      </c>
      <c r="D167" s="117">
        <f>SUM(D168,D234)</f>
        <v>8369.48</v>
      </c>
      <c r="E167" s="117">
        <f>SUM(E168,E234)</f>
        <v>8302.4900000000016</v>
      </c>
      <c r="F167" s="117">
        <f>SUM(F168,F234)</f>
        <v>7757.13</v>
      </c>
      <c r="G167" s="117">
        <f>SUM(G168,G234)</f>
        <v>7757.13</v>
      </c>
      <c r="H167" s="118" t="e">
        <f>H169+H177+H179+H180+#REF!+#REF!+H181+H182+H183+H189+#REF!+H197+H199+#REF!+H202+H205+#REF!+H206+H207+H209+#REF!+#REF!+#REF!+H210+H211+H212+#REF!+#REF!+H217+#REF!+#REF!+#REF!+H218+H220+#REF!+H222+#REF!+H233</f>
        <v>#REF!</v>
      </c>
      <c r="I167" s="118" t="e">
        <f>I169+I177+I179+I180+#REF!+#REF!+I181+I182+I183+I189+#REF!+I197+I199+#REF!+I202+I205+#REF!+I206+I207+I209+#REF!+#REF!+#REF!+I210+I211+I212+#REF!+#REF!+I217+#REF!+#REF!+#REF!+I218+I220+#REF!+I222+#REF!+I233</f>
        <v>#REF!</v>
      </c>
      <c r="J167" s="118" t="e">
        <f>J169+J177+J179+J180+#REF!+#REF!+J181+J182+J183+J189+#REF!+J197+J199+#REF!+J202+J205+#REF!+J206+J207+J209+#REF!+#REF!+#REF!+J210+J211+J212+#REF!+#REF!+J217+#REF!+#REF!+#REF!+J218+J220+#REF!+J222+#REF!+J233</f>
        <v>#REF!</v>
      </c>
      <c r="K167" s="118" t="e">
        <f>K169+K177+K179+K180+#REF!+#REF!+K181+K182+K183+K189+#REF!+K197+K199+#REF!+K202+K205+#REF!+K206+K207+K209+#REF!+#REF!+#REF!+K210+K211+K212+#REF!+#REF!+K217+#REF!+#REF!+#REF!+K218+K220+#REF!+K222+#REF!+K233</f>
        <v>#REF!</v>
      </c>
      <c r="L167" s="118" t="e">
        <f>L169+#REF!+L181+L199+L202+L207+#REF!+#REF!+#REF!+L211+L212+#REF!+L220+#REF!+L222</f>
        <v>#REF!</v>
      </c>
      <c r="M167" s="117" t="e">
        <f>M169+M177+M179+M180+#REF!+#REF!+M181+M182+M189+#REF!+M197+M199+#REF!+M202+M205+#REF!+M206+M209+#REF!+#REF!+#REF!+M210+M211+#REF!+M217+#REF!+#REF!+#REF!+M218+M220+#REF!+M222+#REF!+M233</f>
        <v>#REF!</v>
      </c>
      <c r="N167" s="117">
        <v>185.62</v>
      </c>
      <c r="O167" s="117">
        <v>160.43</v>
      </c>
      <c r="P167" s="117">
        <v>20.63</v>
      </c>
      <c r="Q167" s="117">
        <v>15.07</v>
      </c>
      <c r="R167" s="117">
        <v>136.47999999999999</v>
      </c>
      <c r="S167" s="117">
        <v>135.69999999999999</v>
      </c>
      <c r="T167" s="117">
        <f>T169</f>
        <v>99.396666666666675</v>
      </c>
      <c r="U167" s="117">
        <f>U169+U206</f>
        <v>112.16200000000001</v>
      </c>
      <c r="V167" s="117">
        <v>1.75</v>
      </c>
      <c r="W167" s="117"/>
      <c r="X167" s="209">
        <f t="shared" si="103"/>
        <v>-25.189999999999998</v>
      </c>
      <c r="Y167" s="210">
        <f t="shared" si="104"/>
        <v>0.86429264087921565</v>
      </c>
      <c r="Z167" s="118" t="e">
        <f>Z169+#REF!+Z181+Z199+Z202+Z207+#REF!+#REF!+#REF!+Z211+Z212+#REF!+Z220+#REF!+Z222</f>
        <v>#REF!</v>
      </c>
      <c r="AA167" s="117" t="e">
        <f>AA169+AA177+AA179+AA180+#REF!+#REF!+AA181+AA182+AA189+#REF!+AA197+AA199+#REF!+AA202+AA205+#REF!+AA206+AA209+#REF!+#REF!+#REF!+AA210+AA211+#REF!+AA217+#REF!+#REF!+#REF!+AA218+AA220+#REF!+AA222+#REF!+AA233</f>
        <v>#REF!</v>
      </c>
      <c r="AB167" s="117" t="e">
        <f>AB169+#REF!+AB181+AB199+AB202+AB207+#REF!+#REF!+#REF!+AB211+AB212+#REF!+AB220+#REF!+AB222</f>
        <v>#REF!</v>
      </c>
      <c r="AC167" s="117" t="e">
        <f>AC169+#REF!+AC181+AC199+AC202+AC206+AC220+#REF!+AC222</f>
        <v>#REF!</v>
      </c>
      <c r="AD167" s="117">
        <f>AD169</f>
        <v>37.08</v>
      </c>
      <c r="AE167" s="117">
        <f>AE169</f>
        <v>0</v>
      </c>
      <c r="AF167" s="117">
        <f>AF169</f>
        <v>99.4</v>
      </c>
      <c r="AG167" s="117">
        <f>AG169+AG206</f>
        <v>0</v>
      </c>
      <c r="AH167" s="117"/>
      <c r="AI167" s="117"/>
      <c r="AJ167" s="209" t="e">
        <f t="shared" si="106"/>
        <v>#REF!</v>
      </c>
      <c r="AK167" s="211" t="e">
        <f t="shared" si="107"/>
        <v>#REF!</v>
      </c>
      <c r="AL167" s="118" t="e">
        <f>AL169+#REF!+AL181+AL199+AL202+AL207+#REF!+#REF!+#REF!+AL211+AL212+#REF!+AL220+#REF!+AL222</f>
        <v>#REF!</v>
      </c>
      <c r="AM167" s="117" t="e">
        <f>AM169+AM177+AM179+AM180+#REF!+#REF!+AM181+AM182+AM189+#REF!+AM197+AM199+#REF!+AM202+AM205+#REF!+AM206+AM209+#REF!+#REF!+#REF!+AM210+AM211+#REF!+AM217+#REF!+#REF!+#REF!+AM218+AM220+#REF!+AM222+#REF!+AM233</f>
        <v>#REF!</v>
      </c>
      <c r="AN167" s="117" t="e">
        <f>AN169+#REF!+AN181+AN199+AN202+AN207+#REF!+#REF!+#REF!+AN211+AN212+#REF!+AN220+#REF!+AN222</f>
        <v>#REF!</v>
      </c>
      <c r="AO167" s="117" t="e">
        <f>AO169+#REF!+AO181+AO199+AO202+AO206+AO220+#REF!+AO222</f>
        <v>#REF!</v>
      </c>
      <c r="AP167" s="117">
        <f>AP169</f>
        <v>37.08</v>
      </c>
      <c r="AQ167" s="117">
        <f>AQ169</f>
        <v>0</v>
      </c>
      <c r="AR167" s="117">
        <f>AR169</f>
        <v>99.4</v>
      </c>
      <c r="AS167" s="117">
        <f>AS169+AS206</f>
        <v>0</v>
      </c>
      <c r="AT167" s="117"/>
      <c r="AU167" s="117"/>
      <c r="AV167" s="209" t="e">
        <f t="shared" si="109"/>
        <v>#REF!</v>
      </c>
      <c r="AW167" s="211" t="e">
        <f t="shared" si="110"/>
        <v>#REF!</v>
      </c>
      <c r="AX167" s="117">
        <f>G167/2</f>
        <v>3878.5650000000001</v>
      </c>
      <c r="AY167" s="117">
        <f>AY168+AY234</f>
        <v>8162.6709999999894</v>
      </c>
      <c r="AZ167" s="121" t="e">
        <f>SUM(AZ177:AZ233)+AZ169</f>
        <v>#REF!</v>
      </c>
      <c r="BA167" s="122">
        <f t="shared" ref="BA167:BG167" si="116">SUM(BA168,BA234)</f>
        <v>4817.1000000000004</v>
      </c>
      <c r="BB167" s="122">
        <f t="shared" si="116"/>
        <v>0</v>
      </c>
      <c r="BC167" s="122">
        <f t="shared" si="116"/>
        <v>2022.6654999999901</v>
      </c>
      <c r="BD167" s="122">
        <f t="shared" si="116"/>
        <v>0</v>
      </c>
      <c r="BE167" s="123">
        <f t="shared" si="116"/>
        <v>290.77999999999997</v>
      </c>
      <c r="BF167" s="121">
        <f t="shared" si="116"/>
        <v>593.34055999999998</v>
      </c>
      <c r="BG167" s="122">
        <f t="shared" si="116"/>
        <v>435.76208000000003</v>
      </c>
      <c r="BH167" s="122"/>
      <c r="BI167" s="123"/>
      <c r="BJ167" s="288" t="e">
        <f>BA167-AZ167</f>
        <v>#REF!</v>
      </c>
      <c r="BK167" s="515" t="e">
        <f t="shared" si="112"/>
        <v>#REF!</v>
      </c>
      <c r="BL167" s="528"/>
      <c r="BM167" s="121" t="e">
        <f>SUM(BM177:BM233)+BM169</f>
        <v>#REF!</v>
      </c>
      <c r="BN167" s="122"/>
      <c r="BO167" s="409"/>
      <c r="BP167" s="448"/>
      <c r="BQ167" s="516"/>
      <c r="BR167" s="517"/>
      <c r="BS167" s="518"/>
      <c r="BT167" s="448"/>
      <c r="BU167" s="516"/>
      <c r="BV167" s="517"/>
      <c r="BW167" s="518"/>
      <c r="BX167" s="411">
        <v>3630.11</v>
      </c>
      <c r="BY167" s="449">
        <f t="shared" si="113"/>
        <v>7757.13</v>
      </c>
      <c r="BZ167" s="209" t="e">
        <f>M167+BM167+BQ167+BU167</f>
        <v>#REF!</v>
      </c>
      <c r="CA167" s="516" t="e">
        <f t="shared" si="114"/>
        <v>#REF!</v>
      </c>
      <c r="CB167" s="515" t="e">
        <f t="shared" si="115"/>
        <v>#REF!</v>
      </c>
      <c r="CC167" s="444" t="e">
        <f t="shared" si="101"/>
        <v>#REF!</v>
      </c>
      <c r="CD167" s="529" t="e">
        <f>SUM(CD177:CD233)+CD169</f>
        <v>#REF!</v>
      </c>
      <c r="CE167" s="289">
        <v>521.01</v>
      </c>
      <c r="CF167" s="519">
        <v>0</v>
      </c>
      <c r="CG167" s="450"/>
      <c r="CH167" s="450"/>
      <c r="CI167" s="450"/>
      <c r="CJ167" s="450"/>
      <c r="CK167" s="450"/>
      <c r="CL167" s="450"/>
      <c r="CM167" s="451"/>
      <c r="CN167" s="451"/>
      <c r="CO167" s="451"/>
      <c r="CP167" s="451"/>
      <c r="CQ167" s="451"/>
      <c r="CR167" s="451"/>
      <c r="CS167" s="451"/>
      <c r="CT167" s="451"/>
      <c r="CU167" s="451"/>
      <c r="CV167" s="451"/>
      <c r="CW167" s="451"/>
      <c r="CX167" s="451"/>
      <c r="CY167" s="451"/>
      <c r="CZ167" s="451"/>
      <c r="DA167" s="117">
        <f>DA168+DA234</f>
        <v>8302.48999</v>
      </c>
      <c r="DB167" s="117">
        <f>DB168+DB234</f>
        <v>7757.1299899999995</v>
      </c>
      <c r="DC167" s="117">
        <f>SUM(DC168,DC234)</f>
        <v>7918.4529999999995</v>
      </c>
      <c r="DD167" s="117">
        <f>SUM(DD168,DD234)</f>
        <v>7519.2730000000001</v>
      </c>
      <c r="DE167" s="117">
        <f>SUM(DE168,DE234)</f>
        <v>8012.5439899999992</v>
      </c>
      <c r="DF167" s="117">
        <f>SUM(DF168,DF234)</f>
        <v>4006.2769949999993</v>
      </c>
      <c r="DG167" s="117">
        <f>SUM(DG168,DG234)</f>
        <v>4006.26098</v>
      </c>
      <c r="DI167" s="826"/>
      <c r="DJ167" s="788"/>
    </row>
    <row r="168" spans="1:114" s="783" customFormat="1">
      <c r="A168" s="221" t="s">
        <v>266</v>
      </c>
      <c r="B168" s="222" t="s">
        <v>160</v>
      </c>
      <c r="C168" s="841" t="s">
        <v>54</v>
      </c>
      <c r="D168" s="224">
        <f>SUM(D169,D174,D178,D232)</f>
        <v>5808.6799999999994</v>
      </c>
      <c r="E168" s="224">
        <f>SUM(E169,E174,E178,E232)</f>
        <v>5945.6100000000006</v>
      </c>
      <c r="F168" s="224">
        <f>SUM(F169,F174,F178,F232)</f>
        <v>5400.25</v>
      </c>
      <c r="G168" s="224">
        <f>SUM(G169,G174,G178,G232)</f>
        <v>5400.25</v>
      </c>
      <c r="H168" s="225"/>
      <c r="I168" s="225"/>
      <c r="J168" s="225"/>
      <c r="K168" s="225"/>
      <c r="L168" s="225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6"/>
      <c r="Y168" s="227"/>
      <c r="Z168" s="225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6"/>
      <c r="AK168" s="228"/>
      <c r="AL168" s="225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6"/>
      <c r="AW168" s="228"/>
      <c r="AX168" s="224"/>
      <c r="AY168" s="224">
        <f>SUM(AY169,AY174,AY178,AY232,AY228)</f>
        <v>5851.610999999989</v>
      </c>
      <c r="AZ168" s="229"/>
      <c r="BA168" s="230">
        <f t="shared" ref="BA168:BG168" si="117">SUM(BA169,BA174,BA178,BA232)</f>
        <v>3361.01</v>
      </c>
      <c r="BB168" s="230">
        <f t="shared" si="117"/>
        <v>0</v>
      </c>
      <c r="BC168" s="230">
        <f t="shared" si="117"/>
        <v>1430.9949999999901</v>
      </c>
      <c r="BD168" s="230">
        <f t="shared" si="117"/>
        <v>0</v>
      </c>
      <c r="BE168" s="231">
        <f t="shared" si="117"/>
        <v>126.32999999999998</v>
      </c>
      <c r="BF168" s="229">
        <f t="shared" si="117"/>
        <v>373.72055999999998</v>
      </c>
      <c r="BG168" s="230">
        <f t="shared" si="117"/>
        <v>395.75458000000003</v>
      </c>
      <c r="BH168" s="230"/>
      <c r="BI168" s="231"/>
      <c r="BJ168" s="530"/>
      <c r="BK168" s="531"/>
      <c r="BL168" s="532"/>
      <c r="BM168" s="229"/>
      <c r="BN168" s="230"/>
      <c r="BO168" s="533"/>
      <c r="BP168" s="534"/>
      <c r="BQ168" s="535"/>
      <c r="BR168" s="536"/>
      <c r="BS168" s="537"/>
      <c r="BT168" s="534"/>
      <c r="BU168" s="535"/>
      <c r="BV168" s="536"/>
      <c r="BW168" s="537"/>
      <c r="BX168" s="538"/>
      <c r="BY168" s="539"/>
      <c r="BZ168" s="226"/>
      <c r="CA168" s="535"/>
      <c r="CB168" s="531"/>
      <c r="CC168" s="293"/>
      <c r="CD168" s="540"/>
      <c r="CE168" s="541"/>
      <c r="CF168" s="542"/>
      <c r="CG168" s="543"/>
      <c r="CH168" s="543"/>
      <c r="CI168" s="543"/>
      <c r="CJ168" s="543"/>
      <c r="CK168" s="543"/>
      <c r="CL168" s="543"/>
      <c r="CM168" s="544"/>
      <c r="CN168" s="544"/>
      <c r="CO168" s="544"/>
      <c r="CP168" s="544"/>
      <c r="CQ168" s="544"/>
      <c r="CR168" s="544"/>
      <c r="CS168" s="544"/>
      <c r="CT168" s="544"/>
      <c r="CU168" s="544"/>
      <c r="CV168" s="544"/>
      <c r="CW168" s="544"/>
      <c r="CX168" s="544"/>
      <c r="CY168" s="544"/>
      <c r="CZ168" s="544"/>
      <c r="DA168" s="224">
        <f>SUM(DA169,DA174,DA178,DA232)</f>
        <v>5945.6149099999993</v>
      </c>
      <c r="DB168" s="224">
        <f>SUM(DB169,DB174,DB178,DB232)</f>
        <v>5400.2549099999997</v>
      </c>
      <c r="DC168" s="224">
        <f>SUM(DC169,DC174,DC178,DC232,DC228)</f>
        <v>5446.75</v>
      </c>
      <c r="DD168" s="224">
        <f>SUM(DD169,DD174,DD178,DD232,DD228)</f>
        <v>5114.37</v>
      </c>
      <c r="DE168" s="224">
        <f>SUM(DE169,DE174,DE178,DE232,DE228)</f>
        <v>5502.474909999999</v>
      </c>
      <c r="DF168" s="224">
        <f>SUM(DF169,DF174,DF178,DF232,DF228)</f>
        <v>2751.2374549999995</v>
      </c>
      <c r="DG168" s="224">
        <f>SUM(DG169,DG174,DG178,DG232,DG228)</f>
        <v>2751.23144</v>
      </c>
      <c r="DI168" s="826"/>
      <c r="DJ168" s="788"/>
    </row>
    <row r="169" spans="1:114" s="783" customFormat="1">
      <c r="A169" s="232" t="s">
        <v>267</v>
      </c>
      <c r="B169" s="166" t="s">
        <v>2</v>
      </c>
      <c r="C169" s="834" t="s">
        <v>54</v>
      </c>
      <c r="D169" s="233">
        <f>SUM(D170,D173)</f>
        <v>4189.8999999999996</v>
      </c>
      <c r="E169" s="233">
        <f>SUM(E170,E173)</f>
        <v>4327.1499999999996</v>
      </c>
      <c r="F169" s="233">
        <f>SUM(F170,F173)</f>
        <v>4327.1499999999996</v>
      </c>
      <c r="G169" s="233">
        <f>SUM(G170,G173)</f>
        <v>4327.1499999999996</v>
      </c>
      <c r="H169" s="234">
        <f t="shared" ref="H169:U169" si="118">H170+H173</f>
        <v>1857.17</v>
      </c>
      <c r="I169" s="234">
        <f t="shared" si="118"/>
        <v>1637.76</v>
      </c>
      <c r="J169" s="234">
        <f t="shared" si="118"/>
        <v>445</v>
      </c>
      <c r="K169" s="234">
        <f t="shared" si="118"/>
        <v>1192.76</v>
      </c>
      <c r="L169" s="235">
        <f t="shared" si="118"/>
        <v>360.5958333333333</v>
      </c>
      <c r="M169" s="235">
        <f t="shared" si="118"/>
        <v>255.40628000000001</v>
      </c>
      <c r="N169" s="235">
        <f t="shared" si="118"/>
        <v>154.76416666666668</v>
      </c>
      <c r="O169" s="235">
        <f t="shared" si="118"/>
        <v>135.71440000000001</v>
      </c>
      <c r="P169" s="235"/>
      <c r="Q169" s="235"/>
      <c r="R169" s="235">
        <v>136.47999999999999</v>
      </c>
      <c r="S169" s="235">
        <f t="shared" si="118"/>
        <v>32.532000000000004</v>
      </c>
      <c r="T169" s="235">
        <f t="shared" si="118"/>
        <v>99.396666666666675</v>
      </c>
      <c r="U169" s="235">
        <f t="shared" si="118"/>
        <v>87.162000000000006</v>
      </c>
      <c r="V169" s="235"/>
      <c r="W169" s="235"/>
      <c r="X169" s="235">
        <f t="shared" si="103"/>
        <v>-19.04976666666667</v>
      </c>
      <c r="Y169" s="236">
        <f t="shared" si="104"/>
        <v>0.87691099899309166</v>
      </c>
      <c r="Z169" s="235">
        <f t="shared" ref="Z169:AG169" si="119">Z170+Z173</f>
        <v>291.25</v>
      </c>
      <c r="AA169" s="235">
        <f t="shared" si="119"/>
        <v>338.21</v>
      </c>
      <c r="AB169" s="235">
        <f t="shared" si="119"/>
        <v>154.77000000000001</v>
      </c>
      <c r="AC169" s="235">
        <f t="shared" si="119"/>
        <v>0</v>
      </c>
      <c r="AD169" s="235">
        <f t="shared" si="119"/>
        <v>37.08</v>
      </c>
      <c r="AE169" s="235">
        <f t="shared" si="119"/>
        <v>0</v>
      </c>
      <c r="AF169" s="235">
        <f t="shared" si="119"/>
        <v>99.4</v>
      </c>
      <c r="AG169" s="235">
        <f t="shared" si="119"/>
        <v>0</v>
      </c>
      <c r="AH169" s="235"/>
      <c r="AI169" s="235"/>
      <c r="AJ169" s="235">
        <f t="shared" si="106"/>
        <v>-154.77000000000001</v>
      </c>
      <c r="AK169" s="237">
        <f t="shared" si="107"/>
        <v>0</v>
      </c>
      <c r="AL169" s="235">
        <f t="shared" ref="AL169:AS169" si="120">AL170+AL173</f>
        <v>291.25</v>
      </c>
      <c r="AM169" s="235">
        <f t="shared" si="120"/>
        <v>338.21</v>
      </c>
      <c r="AN169" s="235">
        <f t="shared" si="120"/>
        <v>154.77000000000001</v>
      </c>
      <c r="AO169" s="235">
        <f t="shared" si="120"/>
        <v>0</v>
      </c>
      <c r="AP169" s="235">
        <f t="shared" si="120"/>
        <v>37.08</v>
      </c>
      <c r="AQ169" s="235">
        <f t="shared" si="120"/>
        <v>0</v>
      </c>
      <c r="AR169" s="235">
        <f t="shared" si="120"/>
        <v>99.4</v>
      </c>
      <c r="AS169" s="235">
        <f t="shared" si="120"/>
        <v>0</v>
      </c>
      <c r="AT169" s="235"/>
      <c r="AU169" s="235"/>
      <c r="AV169" s="235">
        <f t="shared" si="109"/>
        <v>-154.77000000000001</v>
      </c>
      <c r="AW169" s="237">
        <f t="shared" si="110"/>
        <v>0</v>
      </c>
      <c r="AX169" s="101">
        <f>G169/2</f>
        <v>2163.5749999999998</v>
      </c>
      <c r="AY169" s="101">
        <f>SUM(AY170,AY173)</f>
        <v>4327.1499999999996</v>
      </c>
      <c r="AZ169" s="238">
        <f t="shared" ref="AZ169:BE169" si="121">AZ170+AZ173</f>
        <v>0</v>
      </c>
      <c r="BA169" s="239">
        <f>BA170+BA173</f>
        <v>2793.38</v>
      </c>
      <c r="BB169" s="239">
        <f t="shared" si="121"/>
        <v>0</v>
      </c>
      <c r="BC169" s="239">
        <f t="shared" si="121"/>
        <v>1164.0240000000001</v>
      </c>
      <c r="BD169" s="239">
        <f t="shared" si="121"/>
        <v>0</v>
      </c>
      <c r="BE169" s="240">
        <f t="shared" si="121"/>
        <v>71.22</v>
      </c>
      <c r="BF169" s="238">
        <f>BF170+BF173</f>
        <v>367.54055999999997</v>
      </c>
      <c r="BG169" s="239">
        <f>BG170+BG173</f>
        <v>313.81458000000003</v>
      </c>
      <c r="BH169" s="239"/>
      <c r="BI169" s="240"/>
      <c r="BJ169" s="417">
        <f t="shared" ref="BJ169:BJ183" si="122">BA169-AZ169</f>
        <v>2793.38</v>
      </c>
      <c r="BK169" s="545" t="e">
        <f t="shared" si="112"/>
        <v>#DIV/0!</v>
      </c>
      <c r="BL169" s="546"/>
      <c r="BM169" s="238">
        <f>BM170+BM173</f>
        <v>338.21595000000002</v>
      </c>
      <c r="BN169" s="239"/>
      <c r="BO169" s="455"/>
      <c r="BP169" s="547"/>
      <c r="BQ169" s="548"/>
      <c r="BR169" s="549"/>
      <c r="BS169" s="550"/>
      <c r="BT169" s="547"/>
      <c r="BU169" s="548"/>
      <c r="BV169" s="549"/>
      <c r="BW169" s="550"/>
      <c r="BX169" s="551">
        <f>BX170</f>
        <v>2753.37</v>
      </c>
      <c r="BY169" s="552">
        <f t="shared" si="113"/>
        <v>4327.1499999999996</v>
      </c>
      <c r="BZ169" s="553">
        <f>M169+BM169+BQ169+BU169</f>
        <v>593.62223000000006</v>
      </c>
      <c r="CA169" s="548">
        <f t="shared" si="114"/>
        <v>-3733.5277699999997</v>
      </c>
      <c r="CB169" s="554">
        <f t="shared" si="115"/>
        <v>0.13718549853829889</v>
      </c>
      <c r="CC169" s="309">
        <f t="shared" si="101"/>
        <v>-3733.5277699999997</v>
      </c>
      <c r="CD169" s="555">
        <f>CD170+CD173</f>
        <v>72.612229999999997</v>
      </c>
      <c r="CE169" s="556">
        <f>CE170+CE173</f>
        <v>521.01</v>
      </c>
      <c r="CF169" s="557"/>
      <c r="CG169" s="558"/>
      <c r="CH169" s="558"/>
      <c r="CI169" s="558"/>
      <c r="CJ169" s="558"/>
      <c r="CK169" s="558"/>
      <c r="CL169" s="558"/>
      <c r="CM169" s="559"/>
      <c r="CN169" s="559"/>
      <c r="CO169" s="559"/>
      <c r="CP169" s="559"/>
      <c r="CQ169" s="559"/>
      <c r="CR169" s="559"/>
      <c r="CS169" s="559"/>
      <c r="CT169" s="559"/>
      <c r="CU169" s="559"/>
      <c r="CV169" s="559"/>
      <c r="CW169" s="559"/>
      <c r="CX169" s="559"/>
      <c r="CY169" s="559"/>
      <c r="CZ169" s="559"/>
      <c r="DA169" s="101">
        <f t="shared" ref="DA169:DG169" si="123">SUM(DA170,DA173)</f>
        <v>4327.1549099999993</v>
      </c>
      <c r="DB169" s="101">
        <f t="shared" si="123"/>
        <v>4327.1549099999993</v>
      </c>
      <c r="DC169" s="233">
        <f t="shared" si="123"/>
        <v>4327.1499999999996</v>
      </c>
      <c r="DD169" s="233">
        <f t="shared" si="123"/>
        <v>4327.1499999999996</v>
      </c>
      <c r="DE169" s="233">
        <f t="shared" si="123"/>
        <v>4327.1549099999993</v>
      </c>
      <c r="DF169" s="233">
        <f t="shared" si="123"/>
        <v>2163.5774549999996</v>
      </c>
      <c r="DG169" s="233">
        <f t="shared" si="123"/>
        <v>2163.5714400000002</v>
      </c>
      <c r="DI169" s="826"/>
      <c r="DJ169" s="788"/>
    </row>
    <row r="170" spans="1:114" s="783" customFormat="1">
      <c r="A170" s="177"/>
      <c r="B170" s="187" t="s">
        <v>3</v>
      </c>
      <c r="C170" s="837" t="s">
        <v>54</v>
      </c>
      <c r="D170" s="31">
        <v>3482.88</v>
      </c>
      <c r="E170" s="31">
        <v>3596.97</v>
      </c>
      <c r="F170" s="31">
        <v>3596.97</v>
      </c>
      <c r="G170" s="31">
        <v>3596.97</v>
      </c>
      <c r="H170" s="134">
        <v>1549.42</v>
      </c>
      <c r="I170" s="134">
        <v>1355.76</v>
      </c>
      <c r="J170" s="134">
        <v>371.68</v>
      </c>
      <c r="K170" s="134">
        <v>984.08</v>
      </c>
      <c r="L170" s="134">
        <f>G170/12</f>
        <v>299.7475</v>
      </c>
      <c r="M170" s="134">
        <v>212.30778000000001</v>
      </c>
      <c r="N170" s="134">
        <f>H170/12</f>
        <v>129.11833333333334</v>
      </c>
      <c r="O170" s="134">
        <v>113.22490000000001</v>
      </c>
      <c r="P170" s="134"/>
      <c r="Q170" s="134"/>
      <c r="R170" s="134">
        <v>112.98</v>
      </c>
      <c r="S170" s="134">
        <v>27.175000000000001</v>
      </c>
      <c r="T170" s="134">
        <f>K170/12</f>
        <v>82.006666666666675</v>
      </c>
      <c r="U170" s="134">
        <v>71.909000000000006</v>
      </c>
      <c r="V170" s="134"/>
      <c r="W170" s="134"/>
      <c r="X170" s="134">
        <f t="shared" si="103"/>
        <v>-15.893433333333334</v>
      </c>
      <c r="Y170" s="134">
        <f t="shared" si="104"/>
        <v>0.87690800428547455</v>
      </c>
      <c r="Z170" s="134">
        <v>242.1</v>
      </c>
      <c r="AA170" s="134">
        <v>281.14</v>
      </c>
      <c r="AB170" s="134">
        <v>129.12</v>
      </c>
      <c r="AC170" s="134"/>
      <c r="AD170" s="134">
        <v>30.97</v>
      </c>
      <c r="AE170" s="134"/>
      <c r="AF170" s="134">
        <v>82.01</v>
      </c>
      <c r="AG170" s="134"/>
      <c r="AH170" s="134"/>
      <c r="AI170" s="134"/>
      <c r="AJ170" s="134">
        <f t="shared" si="106"/>
        <v>-129.12</v>
      </c>
      <c r="AK170" s="241">
        <f t="shared" si="107"/>
        <v>0</v>
      </c>
      <c r="AL170" s="134">
        <v>242.1</v>
      </c>
      <c r="AM170" s="134">
        <v>281.14</v>
      </c>
      <c r="AN170" s="134">
        <v>129.12</v>
      </c>
      <c r="AO170" s="134"/>
      <c r="AP170" s="134">
        <v>30.97</v>
      </c>
      <c r="AQ170" s="134"/>
      <c r="AR170" s="134">
        <v>82.01</v>
      </c>
      <c r="AS170" s="134"/>
      <c r="AT170" s="134"/>
      <c r="AU170" s="134"/>
      <c r="AV170" s="134">
        <f t="shared" si="109"/>
        <v>-129.12</v>
      </c>
      <c r="AW170" s="241">
        <f t="shared" si="110"/>
        <v>0</v>
      </c>
      <c r="AX170" s="31">
        <f>G170/2</f>
        <v>1798.4849999999999</v>
      </c>
      <c r="AY170" s="31">
        <v>3596.97</v>
      </c>
      <c r="AZ170" s="109"/>
      <c r="BA170" s="62">
        <v>2319.33</v>
      </c>
      <c r="BB170" s="62"/>
      <c r="BC170" s="62">
        <v>967.60400000000004</v>
      </c>
      <c r="BD170" s="62"/>
      <c r="BE170" s="110">
        <v>59.2</v>
      </c>
      <c r="BF170" s="109">
        <v>305.52</v>
      </c>
      <c r="BG170" s="62">
        <v>260.86</v>
      </c>
      <c r="BH170" s="62"/>
      <c r="BI170" s="110"/>
      <c r="BJ170" s="426">
        <f t="shared" si="122"/>
        <v>2319.33</v>
      </c>
      <c r="BK170" s="427" t="e">
        <f t="shared" si="112"/>
        <v>#DIV/0!</v>
      </c>
      <c r="BL170" s="560"/>
      <c r="BM170" s="109">
        <v>281.14377000000002</v>
      </c>
      <c r="BN170" s="62"/>
      <c r="BO170" s="470"/>
      <c r="BP170" s="64"/>
      <c r="BQ170" s="61"/>
      <c r="BR170" s="479"/>
      <c r="BS170" s="66"/>
      <c r="BT170" s="64"/>
      <c r="BU170" s="61"/>
      <c r="BV170" s="479"/>
      <c r="BW170" s="66"/>
      <c r="BX170" s="431">
        <v>2753.37</v>
      </c>
      <c r="BY170" s="68">
        <f t="shared" si="113"/>
        <v>3596.97</v>
      </c>
      <c r="BZ170" s="69">
        <f>M170+BM170+BQ170+BU170</f>
        <v>493.45155</v>
      </c>
      <c r="CA170" s="61">
        <f t="shared" si="114"/>
        <v>-3103.5184499999996</v>
      </c>
      <c r="CB170" s="71">
        <f t="shared" si="115"/>
        <v>0.13718533932726712</v>
      </c>
      <c r="CC170" s="72">
        <f t="shared" si="101"/>
        <v>-3103.5184499999996</v>
      </c>
      <c r="CD170" s="434">
        <f>BZ170-CE170</f>
        <v>59.951549999999997</v>
      </c>
      <c r="CE170" s="561">
        <v>433.5</v>
      </c>
      <c r="CF170" s="73"/>
      <c r="CG170" s="74"/>
      <c r="CH170" s="74"/>
      <c r="CI170" s="74"/>
      <c r="CJ170" s="74"/>
      <c r="CK170" s="74"/>
      <c r="CL170" s="74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31">
        <v>3596.97</v>
      </c>
      <c r="DB170" s="31">
        <v>3596.97</v>
      </c>
      <c r="DC170" s="31">
        <v>3596.97</v>
      </c>
      <c r="DD170" s="31">
        <v>3596.97</v>
      </c>
      <c r="DE170" s="31">
        <v>3596.97</v>
      </c>
      <c r="DF170" s="31">
        <f>DE170/2</f>
        <v>1798.4849999999999</v>
      </c>
      <c r="DG170" s="134">
        <v>1798.48</v>
      </c>
      <c r="DI170" s="826"/>
      <c r="DJ170" s="788"/>
    </row>
    <row r="171" spans="1:114" s="783" customFormat="1">
      <c r="A171" s="177"/>
      <c r="B171" s="212" t="s">
        <v>38</v>
      </c>
      <c r="C171" s="839" t="s">
        <v>82</v>
      </c>
      <c r="D171" s="105">
        <v>9.5</v>
      </c>
      <c r="E171" s="105">
        <v>9.5</v>
      </c>
      <c r="F171" s="105">
        <v>9.5</v>
      </c>
      <c r="G171" s="105">
        <v>9.5</v>
      </c>
      <c r="H171" s="242">
        <v>4</v>
      </c>
      <c r="I171" s="242">
        <v>4</v>
      </c>
      <c r="J171" s="242">
        <v>1</v>
      </c>
      <c r="K171" s="242">
        <v>3</v>
      </c>
      <c r="L171" s="242">
        <v>8</v>
      </c>
      <c r="M171" s="243">
        <v>6</v>
      </c>
      <c r="N171" s="134">
        <v>4</v>
      </c>
      <c r="O171" s="134">
        <v>3</v>
      </c>
      <c r="P171" s="134"/>
      <c r="Q171" s="134"/>
      <c r="R171" s="134">
        <v>1</v>
      </c>
      <c r="S171" s="134">
        <v>1</v>
      </c>
      <c r="T171" s="134">
        <v>3</v>
      </c>
      <c r="U171" s="134">
        <v>3</v>
      </c>
      <c r="V171" s="134"/>
      <c r="W171" s="134"/>
      <c r="X171" s="134">
        <f t="shared" si="103"/>
        <v>-1</v>
      </c>
      <c r="Y171" s="155">
        <f t="shared" si="104"/>
        <v>0.75</v>
      </c>
      <c r="Z171" s="242">
        <v>8</v>
      </c>
      <c r="AA171" s="243">
        <v>7</v>
      </c>
      <c r="AB171" s="134">
        <v>4</v>
      </c>
      <c r="AC171" s="134"/>
      <c r="AD171" s="134">
        <v>1</v>
      </c>
      <c r="AE171" s="134"/>
      <c r="AF171" s="134">
        <v>3</v>
      </c>
      <c r="AG171" s="134"/>
      <c r="AH171" s="134"/>
      <c r="AI171" s="134"/>
      <c r="AJ171" s="134">
        <f t="shared" si="106"/>
        <v>-4</v>
      </c>
      <c r="AK171" s="156">
        <f t="shared" si="107"/>
        <v>0</v>
      </c>
      <c r="AL171" s="242">
        <v>8</v>
      </c>
      <c r="AM171" s="243">
        <v>7</v>
      </c>
      <c r="AN171" s="134">
        <v>4</v>
      </c>
      <c r="AO171" s="134"/>
      <c r="AP171" s="134">
        <v>1</v>
      </c>
      <c r="AQ171" s="134"/>
      <c r="AR171" s="134">
        <v>3</v>
      </c>
      <c r="AS171" s="134"/>
      <c r="AT171" s="134"/>
      <c r="AU171" s="134"/>
      <c r="AV171" s="134">
        <f t="shared" si="109"/>
        <v>-4</v>
      </c>
      <c r="AW171" s="156">
        <f t="shared" si="110"/>
        <v>0</v>
      </c>
      <c r="AX171" s="31">
        <v>8</v>
      </c>
      <c r="AY171" s="244">
        <v>9</v>
      </c>
      <c r="AZ171" s="109"/>
      <c r="BA171" s="62"/>
      <c r="BB171" s="62"/>
      <c r="BC171" s="62"/>
      <c r="BD171" s="62"/>
      <c r="BE171" s="110"/>
      <c r="BF171" s="109"/>
      <c r="BG171" s="62"/>
      <c r="BH171" s="62" t="s">
        <v>189</v>
      </c>
      <c r="BI171" s="110"/>
      <c r="BJ171" s="426">
        <f t="shared" si="122"/>
        <v>0</v>
      </c>
      <c r="BK171" s="427" t="e">
        <f t="shared" si="112"/>
        <v>#DIV/0!</v>
      </c>
      <c r="BL171" s="560"/>
      <c r="BM171" s="109"/>
      <c r="BN171" s="62"/>
      <c r="BO171" s="470"/>
      <c r="BP171" s="64"/>
      <c r="BQ171" s="61"/>
      <c r="BR171" s="521"/>
      <c r="BS171" s="66"/>
      <c r="BT171" s="64"/>
      <c r="BU171" s="61"/>
      <c r="BV171" s="479"/>
      <c r="BW171" s="66"/>
      <c r="BX171" s="522">
        <v>7</v>
      </c>
      <c r="BY171" s="68">
        <f t="shared" si="113"/>
        <v>9.5</v>
      </c>
      <c r="BZ171" s="69">
        <f>(M171+BM171+BQ171+BU171)/4</f>
        <v>1.5</v>
      </c>
      <c r="CA171" s="61">
        <f t="shared" si="114"/>
        <v>-8</v>
      </c>
      <c r="CB171" s="71">
        <f t="shared" si="115"/>
        <v>0.15789473684210525</v>
      </c>
      <c r="CC171" s="72">
        <f t="shared" si="101"/>
        <v>-8</v>
      </c>
      <c r="CD171" s="562">
        <v>5</v>
      </c>
      <c r="CE171" s="561">
        <v>1.5</v>
      </c>
      <c r="CF171" s="73"/>
      <c r="CG171" s="525"/>
      <c r="CH171" s="525"/>
      <c r="CI171" s="525"/>
      <c r="CJ171" s="525"/>
      <c r="CK171" s="525"/>
      <c r="CL171" s="525"/>
      <c r="CM171" s="526"/>
      <c r="CN171" s="526"/>
      <c r="CO171" s="526"/>
      <c r="CP171" s="526"/>
      <c r="CQ171" s="526"/>
      <c r="CR171" s="526"/>
      <c r="CS171" s="526"/>
      <c r="CT171" s="526"/>
      <c r="CU171" s="526"/>
      <c r="CV171" s="526"/>
      <c r="CW171" s="526"/>
      <c r="CX171" s="526"/>
      <c r="CY171" s="526"/>
      <c r="CZ171" s="526"/>
      <c r="DA171" s="244">
        <v>9.5</v>
      </c>
      <c r="DB171" s="244">
        <v>9.5</v>
      </c>
      <c r="DC171" s="105">
        <v>9.5</v>
      </c>
      <c r="DD171" s="105">
        <v>9.5</v>
      </c>
      <c r="DE171" s="105">
        <v>9.5</v>
      </c>
      <c r="DF171" s="105">
        <v>9.5</v>
      </c>
      <c r="DG171" s="105">
        <v>9.5</v>
      </c>
      <c r="DI171" s="826"/>
      <c r="DJ171" s="788"/>
    </row>
    <row r="172" spans="1:114" s="783" customFormat="1">
      <c r="A172" s="177"/>
      <c r="B172" s="212" t="s">
        <v>39</v>
      </c>
      <c r="C172" s="839" t="s">
        <v>83</v>
      </c>
      <c r="D172" s="31">
        <f t="shared" ref="D172:K172" si="124">D170/D171/12*1000</f>
        <v>30551.578947368424</v>
      </c>
      <c r="E172" s="31">
        <f t="shared" si="124"/>
        <v>31552.36842105263</v>
      </c>
      <c r="F172" s="31">
        <f t="shared" si="124"/>
        <v>31552.36842105263</v>
      </c>
      <c r="G172" s="31">
        <f t="shared" si="124"/>
        <v>31552.36842105263</v>
      </c>
      <c r="H172" s="134">
        <f t="shared" si="124"/>
        <v>32279.583333333336</v>
      </c>
      <c r="I172" s="134">
        <f t="shared" si="124"/>
        <v>28245</v>
      </c>
      <c r="J172" s="134">
        <f t="shared" si="124"/>
        <v>30973.333333333332</v>
      </c>
      <c r="K172" s="134">
        <f t="shared" si="124"/>
        <v>27335.555555555558</v>
      </c>
      <c r="L172" s="134">
        <f t="shared" ref="L172:U172" si="125">L170/L171*1000</f>
        <v>37468.4375</v>
      </c>
      <c r="M172" s="134">
        <f t="shared" si="125"/>
        <v>35384.630000000005</v>
      </c>
      <c r="N172" s="134">
        <f t="shared" si="125"/>
        <v>32279.583333333336</v>
      </c>
      <c r="O172" s="134">
        <f t="shared" si="125"/>
        <v>37741.633333333331</v>
      </c>
      <c r="P172" s="134"/>
      <c r="Q172" s="134"/>
      <c r="R172" s="134">
        <f t="shared" si="125"/>
        <v>112980</v>
      </c>
      <c r="S172" s="134">
        <f t="shared" si="125"/>
        <v>27175</v>
      </c>
      <c r="T172" s="134">
        <f t="shared" si="125"/>
        <v>27335.555555555558</v>
      </c>
      <c r="U172" s="134">
        <f t="shared" si="125"/>
        <v>23969.666666666668</v>
      </c>
      <c r="V172" s="134"/>
      <c r="W172" s="134"/>
      <c r="X172" s="134">
        <f t="shared" si="103"/>
        <v>5462.0499999999956</v>
      </c>
      <c r="Y172" s="155">
        <f t="shared" si="104"/>
        <v>1.1692106723806326</v>
      </c>
      <c r="Z172" s="134">
        <f t="shared" ref="Z172:AG172" si="126">Z170/Z171*1000</f>
        <v>30262.5</v>
      </c>
      <c r="AA172" s="134">
        <f t="shared" si="126"/>
        <v>40162.857142857145</v>
      </c>
      <c r="AB172" s="134">
        <f t="shared" si="126"/>
        <v>32280</v>
      </c>
      <c r="AC172" s="134" t="e">
        <f t="shared" si="126"/>
        <v>#DIV/0!</v>
      </c>
      <c r="AD172" s="134">
        <f t="shared" si="126"/>
        <v>30970</v>
      </c>
      <c r="AE172" s="134" t="e">
        <f t="shared" si="126"/>
        <v>#DIV/0!</v>
      </c>
      <c r="AF172" s="134">
        <f t="shared" si="126"/>
        <v>27336.666666666668</v>
      </c>
      <c r="AG172" s="134" t="e">
        <f t="shared" si="126"/>
        <v>#DIV/0!</v>
      </c>
      <c r="AH172" s="134"/>
      <c r="AI172" s="134"/>
      <c r="AJ172" s="134" t="e">
        <f t="shared" si="106"/>
        <v>#DIV/0!</v>
      </c>
      <c r="AK172" s="156" t="e">
        <f t="shared" si="107"/>
        <v>#DIV/0!</v>
      </c>
      <c r="AL172" s="134">
        <f t="shared" ref="AL172:AS172" si="127">AL170/AL171*1000</f>
        <v>30262.5</v>
      </c>
      <c r="AM172" s="134">
        <f t="shared" si="127"/>
        <v>40162.857142857145</v>
      </c>
      <c r="AN172" s="134">
        <f t="shared" si="127"/>
        <v>32280</v>
      </c>
      <c r="AO172" s="134" t="e">
        <f t="shared" si="127"/>
        <v>#DIV/0!</v>
      </c>
      <c r="AP172" s="134">
        <f t="shared" si="127"/>
        <v>30970</v>
      </c>
      <c r="AQ172" s="134" t="e">
        <f t="shared" si="127"/>
        <v>#DIV/0!</v>
      </c>
      <c r="AR172" s="134">
        <f t="shared" si="127"/>
        <v>27336.666666666668</v>
      </c>
      <c r="AS172" s="134" t="e">
        <f t="shared" si="127"/>
        <v>#DIV/0!</v>
      </c>
      <c r="AT172" s="134"/>
      <c r="AU172" s="134"/>
      <c r="AV172" s="134" t="e">
        <f t="shared" si="109"/>
        <v>#DIV/0!</v>
      </c>
      <c r="AW172" s="156" t="e">
        <f t="shared" si="110"/>
        <v>#DIV/0!</v>
      </c>
      <c r="AX172" s="31">
        <f>AX170/AX171/6*1000</f>
        <v>37468.4375</v>
      </c>
      <c r="AY172" s="31">
        <f>AY170/AY171/12*1000</f>
        <v>33305.277777777774</v>
      </c>
      <c r="AZ172" s="109" t="e">
        <f>AZ170/AZ171/3*1000</f>
        <v>#DIV/0!</v>
      </c>
      <c r="BA172" s="62"/>
      <c r="BB172" s="62"/>
      <c r="BC172" s="62"/>
      <c r="BD172" s="62"/>
      <c r="BE172" s="110"/>
      <c r="BF172" s="109"/>
      <c r="BG172" s="62"/>
      <c r="BH172" s="62"/>
      <c r="BI172" s="110"/>
      <c r="BJ172" s="426" t="e">
        <f t="shared" si="122"/>
        <v>#DIV/0!</v>
      </c>
      <c r="BK172" s="427" t="e">
        <f t="shared" si="112"/>
        <v>#DIV/0!</v>
      </c>
      <c r="BL172" s="560"/>
      <c r="BM172" s="109"/>
      <c r="BN172" s="62"/>
      <c r="BO172" s="470"/>
      <c r="BP172" s="64"/>
      <c r="BQ172" s="61"/>
      <c r="BR172" s="521"/>
      <c r="BS172" s="66"/>
      <c r="BT172" s="64"/>
      <c r="BU172" s="61"/>
      <c r="BV172" s="479"/>
      <c r="BW172" s="66"/>
      <c r="BX172" s="522"/>
      <c r="BY172" s="68"/>
      <c r="BZ172" s="69"/>
      <c r="CA172" s="61"/>
      <c r="CB172" s="71"/>
      <c r="CC172" s="72"/>
      <c r="CD172" s="562"/>
      <c r="CE172" s="561"/>
      <c r="CF172" s="73"/>
      <c r="CG172" s="525"/>
      <c r="CH172" s="525"/>
      <c r="CI172" s="525"/>
      <c r="CJ172" s="525"/>
      <c r="CK172" s="525"/>
      <c r="CL172" s="525"/>
      <c r="CM172" s="526"/>
      <c r="CN172" s="526"/>
      <c r="CO172" s="526"/>
      <c r="CP172" s="526"/>
      <c r="CQ172" s="526"/>
      <c r="CR172" s="526"/>
      <c r="CS172" s="526"/>
      <c r="CT172" s="526"/>
      <c r="CU172" s="526"/>
      <c r="CV172" s="526"/>
      <c r="CW172" s="526"/>
      <c r="CX172" s="526"/>
      <c r="CY172" s="526"/>
      <c r="CZ172" s="526"/>
      <c r="DA172" s="31">
        <f>DA170/DA171/12*1000</f>
        <v>31552.36842105263</v>
      </c>
      <c r="DB172" s="31">
        <f>DB170/DB171/12*1000</f>
        <v>31552.36842105263</v>
      </c>
      <c r="DC172" s="31">
        <f>DC170/DC171/12*1000</f>
        <v>31552.36842105263</v>
      </c>
      <c r="DD172" s="31">
        <f>DD170/DD171/12*1000</f>
        <v>31552.36842105263</v>
      </c>
      <c r="DE172" s="31">
        <f>DE170/DE171/12*1000</f>
        <v>31552.36842105263</v>
      </c>
      <c r="DF172" s="31">
        <f>DF170/DF171/6*1000</f>
        <v>31552.36842105263</v>
      </c>
      <c r="DG172" s="31">
        <f>DG170/DG171/6*1000</f>
        <v>31552.280701754386</v>
      </c>
      <c r="DI172" s="826"/>
      <c r="DJ172" s="788"/>
    </row>
    <row r="173" spans="1:114" s="783" customFormat="1" ht="12" customHeight="1">
      <c r="A173" s="177"/>
      <c r="B173" s="187" t="s">
        <v>92</v>
      </c>
      <c r="C173" s="837" t="s">
        <v>54</v>
      </c>
      <c r="D173" s="105">
        <v>707.02</v>
      </c>
      <c r="E173" s="105">
        <v>730.18</v>
      </c>
      <c r="F173" s="105">
        <v>730.18</v>
      </c>
      <c r="G173" s="105">
        <v>730.18</v>
      </c>
      <c r="H173" s="242">
        <v>307.75</v>
      </c>
      <c r="I173" s="134">
        <v>282</v>
      </c>
      <c r="J173" s="242">
        <v>73.319999999999993</v>
      </c>
      <c r="K173" s="242">
        <v>208.68</v>
      </c>
      <c r="L173" s="134">
        <f>G173/12</f>
        <v>60.848333333333329</v>
      </c>
      <c r="M173" s="134">
        <v>43.098500000000001</v>
      </c>
      <c r="N173" s="134">
        <f>H173/12</f>
        <v>25.645833333333332</v>
      </c>
      <c r="O173" s="134">
        <v>22.4895</v>
      </c>
      <c r="P173" s="134"/>
      <c r="Q173" s="134"/>
      <c r="R173" s="134">
        <f>J173/12</f>
        <v>6.1099999999999994</v>
      </c>
      <c r="S173" s="134">
        <v>5.3570000000000002</v>
      </c>
      <c r="T173" s="134">
        <f>K173/12</f>
        <v>17.39</v>
      </c>
      <c r="U173" s="134">
        <v>15.253</v>
      </c>
      <c r="V173" s="134"/>
      <c r="W173" s="134"/>
      <c r="X173" s="134">
        <f t="shared" si="103"/>
        <v>-3.1563333333333325</v>
      </c>
      <c r="Y173" s="155">
        <f t="shared" si="104"/>
        <v>0.87692607636068243</v>
      </c>
      <c r="Z173" s="134">
        <v>49.15</v>
      </c>
      <c r="AA173" s="134">
        <v>57.07</v>
      </c>
      <c r="AB173" s="134">
        <v>25.65</v>
      </c>
      <c r="AC173" s="134"/>
      <c r="AD173" s="134">
        <v>6.11</v>
      </c>
      <c r="AE173" s="134"/>
      <c r="AF173" s="134">
        <v>17.39</v>
      </c>
      <c r="AG173" s="134"/>
      <c r="AH173" s="134"/>
      <c r="AI173" s="134"/>
      <c r="AJ173" s="134">
        <f t="shared" si="106"/>
        <v>-25.65</v>
      </c>
      <c r="AK173" s="156">
        <f t="shared" si="107"/>
        <v>0</v>
      </c>
      <c r="AL173" s="134">
        <v>49.15</v>
      </c>
      <c r="AM173" s="134">
        <v>57.07</v>
      </c>
      <c r="AN173" s="134">
        <v>25.65</v>
      </c>
      <c r="AO173" s="134"/>
      <c r="AP173" s="134">
        <v>6.11</v>
      </c>
      <c r="AQ173" s="134"/>
      <c r="AR173" s="134">
        <v>17.39</v>
      </c>
      <c r="AS173" s="134"/>
      <c r="AT173" s="134"/>
      <c r="AU173" s="134"/>
      <c r="AV173" s="134">
        <f t="shared" si="109"/>
        <v>-25.65</v>
      </c>
      <c r="AW173" s="156">
        <f t="shared" si="110"/>
        <v>0</v>
      </c>
      <c r="AX173" s="31">
        <f>G173/2</f>
        <v>365.09</v>
      </c>
      <c r="AY173" s="31">
        <v>730.18</v>
      </c>
      <c r="AZ173" s="109"/>
      <c r="BA173" s="62">
        <v>474.05</v>
      </c>
      <c r="BB173" s="62">
        <f t="shared" ref="BB173:BG173" si="128">BB170*20.3/100</f>
        <v>0</v>
      </c>
      <c r="BC173" s="62">
        <v>196.42</v>
      </c>
      <c r="BD173" s="62">
        <f t="shared" si="128"/>
        <v>0</v>
      </c>
      <c r="BE173" s="110">
        <v>12.02</v>
      </c>
      <c r="BF173" s="109">
        <f t="shared" si="128"/>
        <v>62.020559999999996</v>
      </c>
      <c r="BG173" s="62">
        <f t="shared" si="128"/>
        <v>52.954580000000007</v>
      </c>
      <c r="BH173" s="62"/>
      <c r="BI173" s="110"/>
      <c r="BJ173" s="426">
        <f t="shared" si="122"/>
        <v>474.05</v>
      </c>
      <c r="BK173" s="427" t="e">
        <f t="shared" si="112"/>
        <v>#DIV/0!</v>
      </c>
      <c r="BL173" s="560"/>
      <c r="BM173" s="109">
        <v>57.072180000000003</v>
      </c>
      <c r="BN173" s="62"/>
      <c r="BO173" s="470"/>
      <c r="BP173" s="64"/>
      <c r="BQ173" s="61"/>
      <c r="BR173" s="479"/>
      <c r="BS173" s="66"/>
      <c r="BT173" s="64"/>
      <c r="BU173" s="61"/>
      <c r="BV173" s="479"/>
      <c r="BW173" s="66"/>
      <c r="BX173" s="431"/>
      <c r="BY173" s="68">
        <f t="shared" si="113"/>
        <v>730.18</v>
      </c>
      <c r="BZ173" s="69">
        <f t="shared" ref="BZ173:BZ182" si="129">M173+BM173+BQ173+BU173</f>
        <v>100.17068</v>
      </c>
      <c r="CA173" s="61">
        <f t="shared" si="114"/>
        <v>-630.00931999999989</v>
      </c>
      <c r="CB173" s="71">
        <f t="shared" si="115"/>
        <v>0.13718628283436962</v>
      </c>
      <c r="CC173" s="72">
        <f t="shared" ref="CC173:CC182" si="130">BZ173-E173</f>
        <v>-630.00931999999989</v>
      </c>
      <c r="CD173" s="434">
        <f>BZ173-CE173</f>
        <v>12.660679999999999</v>
      </c>
      <c r="CE173" s="561">
        <v>87.51</v>
      </c>
      <c r="CF173" s="73"/>
      <c r="CG173" s="74"/>
      <c r="CH173" s="74"/>
      <c r="CI173" s="74"/>
      <c r="CJ173" s="74"/>
      <c r="CK173" s="74"/>
      <c r="CL173" s="74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31">
        <f>DA170*20.3/100</f>
        <v>730.18490999999995</v>
      </c>
      <c r="DB173" s="31">
        <f>DB170*20.3/100</f>
        <v>730.18490999999995</v>
      </c>
      <c r="DC173" s="105">
        <v>730.18</v>
      </c>
      <c r="DD173" s="105">
        <v>730.18</v>
      </c>
      <c r="DE173" s="31">
        <f>DE170*20.3/100</f>
        <v>730.18490999999995</v>
      </c>
      <c r="DF173" s="31">
        <f>DF170*20.3/100</f>
        <v>365.09245499999997</v>
      </c>
      <c r="DG173" s="31">
        <f>DG170*20.3/100</f>
        <v>365.09143999999998</v>
      </c>
      <c r="DI173" s="826"/>
      <c r="DJ173" s="788"/>
    </row>
    <row r="174" spans="1:114" s="783" customFormat="1" hidden="1">
      <c r="A174" s="232" t="s">
        <v>268</v>
      </c>
      <c r="B174" s="166" t="s">
        <v>28</v>
      </c>
      <c r="C174" s="834" t="s">
        <v>54</v>
      </c>
      <c r="D174" s="108">
        <f>SUM(D175:D177)</f>
        <v>24</v>
      </c>
      <c r="E174" s="108">
        <f>SUM(E175:E177)</f>
        <v>6</v>
      </c>
      <c r="F174" s="108">
        <f>SUM(F175:F177)</f>
        <v>24</v>
      </c>
      <c r="G174" s="108">
        <f>SUM(G175:G177)</f>
        <v>24</v>
      </c>
      <c r="H174" s="234" t="e">
        <f>H177+#REF!</f>
        <v>#REF!</v>
      </c>
      <c r="I174" s="234" t="e">
        <f>I177+#REF!</f>
        <v>#REF!</v>
      </c>
      <c r="J174" s="234" t="e">
        <f>J177+#REF!</f>
        <v>#REF!</v>
      </c>
      <c r="K174" s="234" t="e">
        <f>K177+#REF!</f>
        <v>#REF!</v>
      </c>
      <c r="L174" s="235" t="e">
        <f>L177+#REF!</f>
        <v>#REF!</v>
      </c>
      <c r="M174" s="235" t="e">
        <f>M177+#REF!</f>
        <v>#REF!</v>
      </c>
      <c r="N174" s="235" t="e">
        <f>N177+#REF!</f>
        <v>#REF!</v>
      </c>
      <c r="O174" s="235" t="e">
        <f>O177+#REF!</f>
        <v>#REF!</v>
      </c>
      <c r="P174" s="235"/>
      <c r="Q174" s="235"/>
      <c r="R174" s="235">
        <v>136.47999999999999</v>
      </c>
      <c r="S174" s="235" t="e">
        <f>S177+#REF!</f>
        <v>#REF!</v>
      </c>
      <c r="T174" s="235" t="e">
        <f>T177+#REF!</f>
        <v>#REF!</v>
      </c>
      <c r="U174" s="235" t="e">
        <f>U177+#REF!</f>
        <v>#REF!</v>
      </c>
      <c r="V174" s="235"/>
      <c r="W174" s="235"/>
      <c r="X174" s="235" t="e">
        <f>O174-N174</f>
        <v>#REF!</v>
      </c>
      <c r="Y174" s="236" t="e">
        <f>O174/N174</f>
        <v>#REF!</v>
      </c>
      <c r="Z174" s="235" t="e">
        <f>Z177+#REF!</f>
        <v>#REF!</v>
      </c>
      <c r="AA174" s="235" t="e">
        <f>AA177+#REF!</f>
        <v>#REF!</v>
      </c>
      <c r="AB174" s="235" t="e">
        <f>AB177+#REF!</f>
        <v>#REF!</v>
      </c>
      <c r="AC174" s="235" t="e">
        <f>AC177+#REF!</f>
        <v>#REF!</v>
      </c>
      <c r="AD174" s="235" t="e">
        <f>AD177+#REF!</f>
        <v>#REF!</v>
      </c>
      <c r="AE174" s="235" t="e">
        <f>AE177+#REF!</f>
        <v>#REF!</v>
      </c>
      <c r="AF174" s="235" t="e">
        <f>AF177+#REF!</f>
        <v>#REF!</v>
      </c>
      <c r="AG174" s="235" t="e">
        <f>AG177+#REF!</f>
        <v>#REF!</v>
      </c>
      <c r="AH174" s="235"/>
      <c r="AI174" s="235"/>
      <c r="AJ174" s="235" t="e">
        <f>AC174-AB174</f>
        <v>#REF!</v>
      </c>
      <c r="AK174" s="237" t="e">
        <f>AC174/AB174</f>
        <v>#REF!</v>
      </c>
      <c r="AL174" s="235" t="e">
        <f>AL177+#REF!</f>
        <v>#REF!</v>
      </c>
      <c r="AM174" s="235" t="e">
        <f>AM177+#REF!</f>
        <v>#REF!</v>
      </c>
      <c r="AN174" s="235" t="e">
        <f>AN177+#REF!</f>
        <v>#REF!</v>
      </c>
      <c r="AO174" s="235" t="e">
        <f>AO177+#REF!</f>
        <v>#REF!</v>
      </c>
      <c r="AP174" s="235" t="e">
        <f>AP177+#REF!</f>
        <v>#REF!</v>
      </c>
      <c r="AQ174" s="235" t="e">
        <f>AQ177+#REF!</f>
        <v>#REF!</v>
      </c>
      <c r="AR174" s="235" t="e">
        <f>AR177+#REF!</f>
        <v>#REF!</v>
      </c>
      <c r="AS174" s="235" t="e">
        <f>AS177+#REF!</f>
        <v>#REF!</v>
      </c>
      <c r="AT174" s="235"/>
      <c r="AU174" s="235"/>
      <c r="AV174" s="235" t="e">
        <f>AO174-AN174</f>
        <v>#REF!</v>
      </c>
      <c r="AW174" s="237" t="e">
        <f>AO174/AN174</f>
        <v>#REF!</v>
      </c>
      <c r="AX174" s="101">
        <f>G174/2</f>
        <v>12</v>
      </c>
      <c r="AY174" s="101">
        <f>SUM(AY175:AY177)</f>
        <v>5.4809999999900008</v>
      </c>
      <c r="AZ174" s="238" t="e">
        <f>AZ177+#REF!</f>
        <v>#REF!</v>
      </c>
      <c r="BA174" s="239">
        <f>SUM(BA175:BA177)</f>
        <v>3.88</v>
      </c>
      <c r="BB174" s="239">
        <f t="shared" ref="BB174:BG174" si="131">SUM(BB177)</f>
        <v>0</v>
      </c>
      <c r="BC174" s="239">
        <f>SUM(BC175:BC177)</f>
        <v>1.36099999999</v>
      </c>
      <c r="BD174" s="239">
        <f t="shared" si="131"/>
        <v>0</v>
      </c>
      <c r="BE174" s="240">
        <f>SUM(BE175:BE177)</f>
        <v>0.24</v>
      </c>
      <c r="BF174" s="238">
        <f>SUM(BF175:BF177)</f>
        <v>0.06</v>
      </c>
      <c r="BG174" s="239">
        <f t="shared" si="131"/>
        <v>0</v>
      </c>
      <c r="BH174" s="239"/>
      <c r="BI174" s="240"/>
      <c r="BJ174" s="417" t="e">
        <f t="shared" si="122"/>
        <v>#REF!</v>
      </c>
      <c r="BK174" s="545" t="e">
        <f>BA174/AZ174</f>
        <v>#REF!</v>
      </c>
      <c r="BL174" s="546"/>
      <c r="BM174" s="238" t="e">
        <f>BM177+#REF!</f>
        <v>#REF!</v>
      </c>
      <c r="BN174" s="239"/>
      <c r="BO174" s="455"/>
      <c r="BP174" s="547"/>
      <c r="BQ174" s="548"/>
      <c r="BR174" s="549"/>
      <c r="BS174" s="550"/>
      <c r="BT174" s="547"/>
      <c r="BU174" s="548"/>
      <c r="BV174" s="549"/>
      <c r="BW174" s="550"/>
      <c r="BX174" s="551">
        <f>BX177</f>
        <v>0</v>
      </c>
      <c r="BY174" s="552">
        <f>F174</f>
        <v>24</v>
      </c>
      <c r="BZ174" s="553" t="e">
        <f t="shared" si="129"/>
        <v>#REF!</v>
      </c>
      <c r="CA174" s="548" t="e">
        <f>BZ174-BY174</f>
        <v>#REF!</v>
      </c>
      <c r="CB174" s="554" t="e">
        <f>BZ174/BY174</f>
        <v>#REF!</v>
      </c>
      <c r="CC174" s="309" t="e">
        <f t="shared" si="130"/>
        <v>#REF!</v>
      </c>
      <c r="CD174" s="555" t="e">
        <f>CD177+#REF!</f>
        <v>#REF!</v>
      </c>
      <c r="CE174" s="556" t="e">
        <f>CE177+#REF!</f>
        <v>#REF!</v>
      </c>
      <c r="CF174" s="557"/>
      <c r="CG174" s="558"/>
      <c r="CH174" s="558"/>
      <c r="CI174" s="558"/>
      <c r="CJ174" s="558"/>
      <c r="CK174" s="558"/>
      <c r="CL174" s="558"/>
      <c r="CM174" s="559"/>
      <c r="CN174" s="559"/>
      <c r="CO174" s="559"/>
      <c r="CP174" s="559"/>
      <c r="CQ174" s="559"/>
      <c r="CR174" s="559"/>
      <c r="CS174" s="559"/>
      <c r="CT174" s="559"/>
      <c r="CU174" s="559"/>
      <c r="CV174" s="559"/>
      <c r="CW174" s="559"/>
      <c r="CX174" s="559"/>
      <c r="CY174" s="559"/>
      <c r="CZ174" s="559"/>
      <c r="DA174" s="101"/>
      <c r="DB174" s="101"/>
      <c r="DC174" s="108"/>
      <c r="DD174" s="108"/>
      <c r="DE174" s="108"/>
      <c r="DF174" s="108"/>
      <c r="DG174" s="117"/>
      <c r="DI174" s="826"/>
      <c r="DJ174" s="788"/>
    </row>
    <row r="175" spans="1:114" s="783" customFormat="1" hidden="1">
      <c r="A175" s="177"/>
      <c r="B175" s="187" t="s">
        <v>29</v>
      </c>
      <c r="C175" s="837" t="s">
        <v>54</v>
      </c>
      <c r="D175" s="31">
        <v>6</v>
      </c>
      <c r="E175" s="31">
        <v>2.5</v>
      </c>
      <c r="F175" s="31">
        <v>6</v>
      </c>
      <c r="G175" s="31">
        <v>6</v>
      </c>
      <c r="H175" s="134"/>
      <c r="I175" s="134"/>
      <c r="J175" s="134"/>
      <c r="K175" s="134"/>
      <c r="L175" s="242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55"/>
      <c r="Z175" s="242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56"/>
      <c r="AL175" s="242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56"/>
      <c r="AX175" s="31"/>
      <c r="AY175" s="31">
        <f>SUM(BA175,BC175,BE175)</f>
        <v>2.2509000000000001</v>
      </c>
      <c r="AZ175" s="109"/>
      <c r="BA175" s="62">
        <v>1.42</v>
      </c>
      <c r="BB175" s="62"/>
      <c r="BC175" s="62">
        <v>0.71089999999999998</v>
      </c>
      <c r="BD175" s="62"/>
      <c r="BE175" s="110">
        <v>0.12</v>
      </c>
      <c r="BF175" s="109"/>
      <c r="BG175" s="62"/>
      <c r="BH175" s="62"/>
      <c r="BI175" s="110"/>
      <c r="BJ175" s="426">
        <f>BA175-AZ175</f>
        <v>1.42</v>
      </c>
      <c r="BK175" s="427"/>
      <c r="BL175" s="560"/>
      <c r="BM175" s="109"/>
      <c r="BN175" s="62"/>
      <c r="BO175" s="470"/>
      <c r="BP175" s="64"/>
      <c r="BQ175" s="61"/>
      <c r="BR175" s="479"/>
      <c r="BS175" s="66"/>
      <c r="BT175" s="64"/>
      <c r="BU175" s="61"/>
      <c r="BV175" s="65"/>
      <c r="BW175" s="66"/>
      <c r="BX175" s="431"/>
      <c r="BY175" s="68"/>
      <c r="BZ175" s="69">
        <f>M175+BM175+BQ175+BU175</f>
        <v>0</v>
      </c>
      <c r="CA175" s="70"/>
      <c r="CB175" s="71"/>
      <c r="CC175" s="72">
        <f>BZ175-E175</f>
        <v>-2.5</v>
      </c>
      <c r="CD175" s="562">
        <v>70.2</v>
      </c>
      <c r="CE175" s="561"/>
      <c r="CF175" s="73"/>
      <c r="CG175" s="74"/>
      <c r="CH175" s="74"/>
      <c r="CI175" s="74"/>
      <c r="CJ175" s="74"/>
      <c r="CK175" s="74"/>
      <c r="CL175" s="74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31">
        <v>2.5</v>
      </c>
      <c r="DB175" s="31">
        <v>2.5</v>
      </c>
      <c r="DC175" s="31">
        <v>6</v>
      </c>
      <c r="DD175" s="31">
        <v>4.5999999999999996</v>
      </c>
      <c r="DE175" s="31">
        <v>6</v>
      </c>
      <c r="DF175" s="31">
        <v>3</v>
      </c>
      <c r="DG175" s="134">
        <v>3</v>
      </c>
      <c r="DI175" s="826"/>
      <c r="DJ175" s="788"/>
    </row>
    <row r="176" spans="1:114" s="783" customFormat="1" hidden="1">
      <c r="A176" s="177"/>
      <c r="B176" s="187" t="s">
        <v>59</v>
      </c>
      <c r="C176" s="837" t="s">
        <v>54</v>
      </c>
      <c r="D176" s="31">
        <v>3</v>
      </c>
      <c r="E176" s="31">
        <v>1.5</v>
      </c>
      <c r="F176" s="31">
        <v>3</v>
      </c>
      <c r="G176" s="31">
        <v>3</v>
      </c>
      <c r="H176" s="134"/>
      <c r="I176" s="134"/>
      <c r="J176" s="134"/>
      <c r="K176" s="134"/>
      <c r="L176" s="242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55"/>
      <c r="Z176" s="242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56"/>
      <c r="AL176" s="242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56"/>
      <c r="AX176" s="31"/>
      <c r="AY176" s="31">
        <f>SUM(BA176,BC176,BE176)</f>
        <v>1.3</v>
      </c>
      <c r="AZ176" s="109"/>
      <c r="BA176" s="62">
        <v>1.3</v>
      </c>
      <c r="BB176" s="62"/>
      <c r="BC176" s="62"/>
      <c r="BD176" s="62"/>
      <c r="BE176" s="110"/>
      <c r="BF176" s="109"/>
      <c r="BG176" s="62"/>
      <c r="BH176" s="62"/>
      <c r="BI176" s="110"/>
      <c r="BJ176" s="426"/>
      <c r="BK176" s="427"/>
      <c r="BL176" s="560"/>
      <c r="BM176" s="109"/>
      <c r="BN176" s="62"/>
      <c r="BO176" s="470"/>
      <c r="BP176" s="64"/>
      <c r="BQ176" s="61"/>
      <c r="BR176" s="479"/>
      <c r="BS176" s="66"/>
      <c r="BT176" s="64"/>
      <c r="BU176" s="61"/>
      <c r="BV176" s="65"/>
      <c r="BW176" s="66"/>
      <c r="BX176" s="431"/>
      <c r="BY176" s="68"/>
      <c r="BZ176" s="69"/>
      <c r="CA176" s="70"/>
      <c r="CB176" s="71"/>
      <c r="CC176" s="72"/>
      <c r="CD176" s="562"/>
      <c r="CE176" s="561"/>
      <c r="CF176" s="73"/>
      <c r="CG176" s="74"/>
      <c r="CH176" s="74"/>
      <c r="CI176" s="74"/>
      <c r="CJ176" s="74"/>
      <c r="CK176" s="74"/>
      <c r="CL176" s="74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31">
        <v>1.5</v>
      </c>
      <c r="DB176" s="31">
        <v>1.5</v>
      </c>
      <c r="DC176" s="31">
        <v>3</v>
      </c>
      <c r="DD176" s="31"/>
      <c r="DE176" s="31">
        <v>3</v>
      </c>
      <c r="DF176" s="31">
        <v>1.5</v>
      </c>
      <c r="DG176" s="134">
        <v>1.5</v>
      </c>
      <c r="DI176" s="826"/>
      <c r="DJ176" s="788"/>
    </row>
    <row r="177" spans="1:114" s="783" customFormat="1" hidden="1">
      <c r="A177" s="177"/>
      <c r="B177" s="187" t="s">
        <v>162</v>
      </c>
      <c r="C177" s="837" t="s">
        <v>54</v>
      </c>
      <c r="D177" s="31">
        <v>15</v>
      </c>
      <c r="E177" s="31">
        <v>2</v>
      </c>
      <c r="F177" s="31">
        <v>15</v>
      </c>
      <c r="G177" s="31">
        <v>15</v>
      </c>
      <c r="H177" s="134"/>
      <c r="I177" s="134"/>
      <c r="J177" s="134"/>
      <c r="K177" s="134"/>
      <c r="L177" s="242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55"/>
      <c r="Z177" s="242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56"/>
      <c r="AL177" s="242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56"/>
      <c r="AX177" s="31"/>
      <c r="AY177" s="31">
        <f>SUM(BA177,BC177,BE177)</f>
        <v>1.9300999999899999</v>
      </c>
      <c r="AZ177" s="109"/>
      <c r="BA177" s="62">
        <v>1.1599999999999999</v>
      </c>
      <c r="BB177" s="62"/>
      <c r="BC177" s="62">
        <v>0.65009999999000001</v>
      </c>
      <c r="BD177" s="62"/>
      <c r="BE177" s="110">
        <v>0.12</v>
      </c>
      <c r="BF177" s="109">
        <v>0.06</v>
      </c>
      <c r="BG177" s="62"/>
      <c r="BH177" s="62"/>
      <c r="BI177" s="110"/>
      <c r="BJ177" s="426">
        <f t="shared" si="122"/>
        <v>1.1599999999999999</v>
      </c>
      <c r="BK177" s="427"/>
      <c r="BL177" s="560"/>
      <c r="BM177" s="109"/>
      <c r="BN177" s="62"/>
      <c r="BO177" s="470"/>
      <c r="BP177" s="64"/>
      <c r="BQ177" s="61"/>
      <c r="BR177" s="479"/>
      <c r="BS177" s="66"/>
      <c r="BT177" s="64"/>
      <c r="BU177" s="61"/>
      <c r="BV177" s="65"/>
      <c r="BW177" s="66"/>
      <c r="BX177" s="431"/>
      <c r="BY177" s="68"/>
      <c r="BZ177" s="69">
        <f t="shared" si="129"/>
        <v>0</v>
      </c>
      <c r="CA177" s="70"/>
      <c r="CB177" s="71"/>
      <c r="CC177" s="72">
        <f t="shared" si="130"/>
        <v>-2</v>
      </c>
      <c r="CD177" s="562">
        <v>70.2</v>
      </c>
      <c r="CE177" s="561"/>
      <c r="CF177" s="73"/>
      <c r="CG177" s="74"/>
      <c r="CH177" s="74"/>
      <c r="CI177" s="74"/>
      <c r="CJ177" s="74"/>
      <c r="CK177" s="74"/>
      <c r="CL177" s="74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31">
        <v>2</v>
      </c>
      <c r="DB177" s="31">
        <v>2</v>
      </c>
      <c r="DC177" s="31">
        <v>15</v>
      </c>
      <c r="DD177" s="31">
        <v>11.6</v>
      </c>
      <c r="DE177" s="31">
        <v>15</v>
      </c>
      <c r="DF177" s="31">
        <v>7.5</v>
      </c>
      <c r="DG177" s="134">
        <v>7.5</v>
      </c>
      <c r="DI177" s="826"/>
      <c r="DJ177" s="788"/>
    </row>
    <row r="178" spans="1:114" s="783" customFormat="1">
      <c r="A178" s="232" t="s">
        <v>268</v>
      </c>
      <c r="B178" s="166" t="s">
        <v>6</v>
      </c>
      <c r="C178" s="834" t="s">
        <v>54</v>
      </c>
      <c r="D178" s="108">
        <f>SUM(D179:D227)</f>
        <v>1335.4</v>
      </c>
      <c r="E178" s="108">
        <f>SUM(E179:E227)</f>
        <v>1398.1100000000001</v>
      </c>
      <c r="F178" s="108">
        <f>SUM(F179:F227)</f>
        <v>834.75</v>
      </c>
      <c r="G178" s="108">
        <f>SUM(G179:G227)</f>
        <v>834.75</v>
      </c>
      <c r="H178" s="234" t="e">
        <f>#REF!+H183</f>
        <v>#REF!</v>
      </c>
      <c r="I178" s="234" t="e">
        <f>#REF!+I183</f>
        <v>#REF!</v>
      </c>
      <c r="J178" s="234" t="e">
        <f>#REF!+J183</f>
        <v>#REF!</v>
      </c>
      <c r="K178" s="234" t="e">
        <f>#REF!+K183</f>
        <v>#REF!</v>
      </c>
      <c r="L178" s="235" t="e">
        <f>#REF!+L183</f>
        <v>#REF!</v>
      </c>
      <c r="M178" s="235" t="e">
        <f>#REF!+M183</f>
        <v>#REF!</v>
      </c>
      <c r="N178" s="235" t="e">
        <f>#REF!+N183</f>
        <v>#REF!</v>
      </c>
      <c r="O178" s="235" t="e">
        <f>#REF!+O183</f>
        <v>#REF!</v>
      </c>
      <c r="P178" s="235"/>
      <c r="Q178" s="235"/>
      <c r="R178" s="235">
        <v>136.47999999999999</v>
      </c>
      <c r="S178" s="235" t="e">
        <f>#REF!+S183</f>
        <v>#REF!</v>
      </c>
      <c r="T178" s="235" t="e">
        <f>#REF!+T183</f>
        <v>#REF!</v>
      </c>
      <c r="U178" s="235" t="e">
        <f>#REF!+U183</f>
        <v>#REF!</v>
      </c>
      <c r="V178" s="235"/>
      <c r="W178" s="235"/>
      <c r="X178" s="235" t="e">
        <f>O178-N178</f>
        <v>#REF!</v>
      </c>
      <c r="Y178" s="236" t="e">
        <f>O178/N178</f>
        <v>#REF!</v>
      </c>
      <c r="Z178" s="235" t="e">
        <f>#REF!+Z183</f>
        <v>#REF!</v>
      </c>
      <c r="AA178" s="235" t="e">
        <f>#REF!+AA183</f>
        <v>#REF!</v>
      </c>
      <c r="AB178" s="235" t="e">
        <f>#REF!+AB183</f>
        <v>#REF!</v>
      </c>
      <c r="AC178" s="235" t="e">
        <f>#REF!+AC183</f>
        <v>#REF!</v>
      </c>
      <c r="AD178" s="235" t="e">
        <f>#REF!+AD183</f>
        <v>#REF!</v>
      </c>
      <c r="AE178" s="235" t="e">
        <f>#REF!+AE183</f>
        <v>#REF!</v>
      </c>
      <c r="AF178" s="235" t="e">
        <f>#REF!+AF183</f>
        <v>#REF!</v>
      </c>
      <c r="AG178" s="235" t="e">
        <f>#REF!+AG183</f>
        <v>#REF!</v>
      </c>
      <c r="AH178" s="235"/>
      <c r="AI178" s="235"/>
      <c r="AJ178" s="235" t="e">
        <f>AC178-AB178</f>
        <v>#REF!</v>
      </c>
      <c r="AK178" s="237" t="e">
        <f>AC178/AB178</f>
        <v>#REF!</v>
      </c>
      <c r="AL178" s="235" t="e">
        <f>#REF!+AL183</f>
        <v>#REF!</v>
      </c>
      <c r="AM178" s="235" t="e">
        <f>#REF!+AM183</f>
        <v>#REF!</v>
      </c>
      <c r="AN178" s="235" t="e">
        <f>#REF!+AN183</f>
        <v>#REF!</v>
      </c>
      <c r="AO178" s="235" t="e">
        <f>#REF!+AO183</f>
        <v>#REF!</v>
      </c>
      <c r="AP178" s="235" t="e">
        <f>#REF!+AP183</f>
        <v>#REF!</v>
      </c>
      <c r="AQ178" s="235" t="e">
        <f>#REF!+AQ183</f>
        <v>#REF!</v>
      </c>
      <c r="AR178" s="235" t="e">
        <f>#REF!+AR183</f>
        <v>#REF!</v>
      </c>
      <c r="AS178" s="235" t="e">
        <f>#REF!+AS183</f>
        <v>#REF!</v>
      </c>
      <c r="AT178" s="235"/>
      <c r="AU178" s="235"/>
      <c r="AV178" s="235" t="e">
        <f>AO178-AN178</f>
        <v>#REF!</v>
      </c>
      <c r="AW178" s="237" t="e">
        <f>AO178/AN178</f>
        <v>#REF!</v>
      </c>
      <c r="AX178" s="101">
        <f>G178/2</f>
        <v>417.375</v>
      </c>
      <c r="AY178" s="101">
        <f>SUM(AY179:AY227)</f>
        <v>1305.58</v>
      </c>
      <c r="AZ178" s="238" t="e">
        <f>#REF!+AZ183</f>
        <v>#REF!</v>
      </c>
      <c r="BA178" s="239">
        <f t="shared" ref="BA178:BG178" si="132">SUM(BA179:BA227)</f>
        <v>420.11</v>
      </c>
      <c r="BB178" s="239">
        <f t="shared" si="132"/>
        <v>0</v>
      </c>
      <c r="BC178" s="239">
        <f t="shared" si="132"/>
        <v>209.14</v>
      </c>
      <c r="BD178" s="239">
        <f t="shared" si="132"/>
        <v>0</v>
      </c>
      <c r="BE178" s="240">
        <f t="shared" si="132"/>
        <v>46.86999999999999</v>
      </c>
      <c r="BF178" s="238">
        <f t="shared" si="132"/>
        <v>1.92</v>
      </c>
      <c r="BG178" s="239">
        <f t="shared" si="132"/>
        <v>81.94</v>
      </c>
      <c r="BH178" s="239"/>
      <c r="BI178" s="240"/>
      <c r="BJ178" s="417" t="e">
        <f t="shared" si="122"/>
        <v>#REF!</v>
      </c>
      <c r="BK178" s="545" t="e">
        <f>BA178/AZ178</f>
        <v>#REF!</v>
      </c>
      <c r="BL178" s="546"/>
      <c r="BM178" s="238" t="e">
        <f>#REF!+BM183</f>
        <v>#REF!</v>
      </c>
      <c r="BN178" s="239"/>
      <c r="BO178" s="455"/>
      <c r="BP178" s="547"/>
      <c r="BQ178" s="548"/>
      <c r="BR178" s="549"/>
      <c r="BS178" s="550"/>
      <c r="BT178" s="547"/>
      <c r="BU178" s="548"/>
      <c r="BV178" s="549"/>
      <c r="BW178" s="550"/>
      <c r="BX178" s="551" t="e">
        <f>#REF!</f>
        <v>#REF!</v>
      </c>
      <c r="BY178" s="552">
        <f>F178</f>
        <v>834.75</v>
      </c>
      <c r="BZ178" s="553" t="e">
        <f>M178+BM178+BQ178+BU178</f>
        <v>#REF!</v>
      </c>
      <c r="CA178" s="548" t="e">
        <f>BZ178-BY178</f>
        <v>#REF!</v>
      </c>
      <c r="CB178" s="554" t="e">
        <f>BZ178/BY178</f>
        <v>#REF!</v>
      </c>
      <c r="CC178" s="309" t="e">
        <f>BZ178-E178</f>
        <v>#REF!</v>
      </c>
      <c r="CD178" s="555" t="e">
        <f>#REF!+CD183</f>
        <v>#REF!</v>
      </c>
      <c r="CE178" s="556" t="e">
        <f>#REF!+CE183</f>
        <v>#REF!</v>
      </c>
      <c r="CF178" s="557"/>
      <c r="CG178" s="558"/>
      <c r="CH178" s="558"/>
      <c r="CI178" s="558"/>
      <c r="CJ178" s="558"/>
      <c r="CK178" s="558"/>
      <c r="CL178" s="558"/>
      <c r="CM178" s="559"/>
      <c r="CN178" s="559"/>
      <c r="CO178" s="559"/>
      <c r="CP178" s="559"/>
      <c r="CQ178" s="559"/>
      <c r="CR178" s="559"/>
      <c r="CS178" s="559"/>
      <c r="CT178" s="559"/>
      <c r="CU178" s="559"/>
      <c r="CV178" s="559"/>
      <c r="CW178" s="559"/>
      <c r="CX178" s="559"/>
      <c r="CY178" s="559"/>
      <c r="CZ178" s="559"/>
      <c r="DA178" s="101">
        <v>1404.11</v>
      </c>
      <c r="DB178" s="101">
        <f>SUM(DB179:DB227)</f>
        <v>858.75</v>
      </c>
      <c r="DC178" s="108">
        <v>1119.5999999999999</v>
      </c>
      <c r="DD178" s="108">
        <v>787.22</v>
      </c>
      <c r="DE178" s="108">
        <v>1175.32</v>
      </c>
      <c r="DF178" s="108">
        <f>DE178/2</f>
        <v>587.66</v>
      </c>
      <c r="DG178" s="117">
        <f>DF178</f>
        <v>587.66</v>
      </c>
      <c r="DH178" s="233"/>
      <c r="DI178" s="826"/>
      <c r="DJ178" s="788"/>
    </row>
    <row r="179" spans="1:114" s="783" customFormat="1" ht="12.75" hidden="1" customHeight="1">
      <c r="A179" s="177"/>
      <c r="B179" s="187" t="s">
        <v>245</v>
      </c>
      <c r="C179" s="837" t="s">
        <v>54</v>
      </c>
      <c r="D179" s="31">
        <v>99.39</v>
      </c>
      <c r="E179" s="31">
        <v>105.35</v>
      </c>
      <c r="F179" s="31">
        <f>105.35-24</f>
        <v>81.349999999999994</v>
      </c>
      <c r="G179" s="31">
        <f>105.35-24</f>
        <v>81.349999999999994</v>
      </c>
      <c r="H179" s="134"/>
      <c r="I179" s="134"/>
      <c r="J179" s="134"/>
      <c r="K179" s="134"/>
      <c r="L179" s="242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55"/>
      <c r="Z179" s="242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56"/>
      <c r="AL179" s="242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56"/>
      <c r="AX179" s="31"/>
      <c r="AY179" s="31">
        <f>29.27+31.19</f>
        <v>60.46</v>
      </c>
      <c r="AZ179" s="109"/>
      <c r="BA179" s="62">
        <v>46.39</v>
      </c>
      <c r="BB179" s="62"/>
      <c r="BC179" s="62">
        <v>10.97</v>
      </c>
      <c r="BD179" s="62"/>
      <c r="BE179" s="110">
        <v>5.33</v>
      </c>
      <c r="BF179" s="109"/>
      <c r="BG179" s="62"/>
      <c r="BH179" s="62"/>
      <c r="BI179" s="110"/>
      <c r="BJ179" s="426">
        <f t="shared" si="122"/>
        <v>46.39</v>
      </c>
      <c r="BK179" s="427"/>
      <c r="BL179" s="560"/>
      <c r="BM179" s="109"/>
      <c r="BN179" s="62"/>
      <c r="BO179" s="470"/>
      <c r="BP179" s="64"/>
      <c r="BQ179" s="61"/>
      <c r="BR179" s="479"/>
      <c r="BS179" s="66"/>
      <c r="BT179" s="64"/>
      <c r="BU179" s="61"/>
      <c r="BV179" s="65"/>
      <c r="BW179" s="66"/>
      <c r="BX179" s="431"/>
      <c r="BY179" s="68"/>
      <c r="BZ179" s="69">
        <f t="shared" si="129"/>
        <v>0</v>
      </c>
      <c r="CA179" s="70"/>
      <c r="CB179" s="71"/>
      <c r="CC179" s="72">
        <f t="shared" si="130"/>
        <v>-105.35</v>
      </c>
      <c r="CD179" s="562">
        <v>24.3</v>
      </c>
      <c r="CE179" s="561"/>
      <c r="CF179" s="73"/>
      <c r="CG179" s="74"/>
      <c r="CH179" s="74"/>
      <c r="CI179" s="74"/>
      <c r="CJ179" s="74"/>
      <c r="CK179" s="74"/>
      <c r="CL179" s="74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31">
        <v>105.35</v>
      </c>
      <c r="DB179" s="31">
        <v>105.35</v>
      </c>
      <c r="DC179" s="31">
        <v>105.35</v>
      </c>
      <c r="DD179" s="31">
        <v>105.35</v>
      </c>
      <c r="DE179" s="31">
        <v>159.32</v>
      </c>
      <c r="DF179" s="108">
        <f t="shared" ref="DF179:DF233" si="133">DE179/2</f>
        <v>79.66</v>
      </c>
      <c r="DG179" s="134">
        <f>DF179</f>
        <v>79.66</v>
      </c>
      <c r="DH179" s="842"/>
      <c r="DI179" s="826"/>
      <c r="DJ179" s="788"/>
    </row>
    <row r="180" spans="1:114" s="783" customFormat="1" hidden="1">
      <c r="A180" s="177"/>
      <c r="B180" s="187" t="s">
        <v>163</v>
      </c>
      <c r="C180" s="837" t="s">
        <v>54</v>
      </c>
      <c r="D180" s="31">
        <v>5.76</v>
      </c>
      <c r="E180" s="31">
        <v>7</v>
      </c>
      <c r="F180" s="31">
        <v>7</v>
      </c>
      <c r="G180" s="31">
        <v>7</v>
      </c>
      <c r="H180" s="134"/>
      <c r="I180" s="134"/>
      <c r="J180" s="134"/>
      <c r="K180" s="134"/>
      <c r="L180" s="242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55"/>
      <c r="Z180" s="242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56"/>
      <c r="AL180" s="242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56"/>
      <c r="AX180" s="31"/>
      <c r="AY180" s="31">
        <v>4.08</v>
      </c>
      <c r="AZ180" s="109"/>
      <c r="BA180" s="62"/>
      <c r="BB180" s="62"/>
      <c r="BC180" s="62"/>
      <c r="BD180" s="62"/>
      <c r="BE180" s="110"/>
      <c r="BF180" s="109"/>
      <c r="BG180" s="62">
        <f>AY180</f>
        <v>4.08</v>
      </c>
      <c r="BH180" s="62"/>
      <c r="BI180" s="110"/>
      <c r="BJ180" s="426">
        <f t="shared" si="122"/>
        <v>0</v>
      </c>
      <c r="BK180" s="427"/>
      <c r="BL180" s="560"/>
      <c r="BM180" s="109"/>
      <c r="BN180" s="62"/>
      <c r="BO180" s="470"/>
      <c r="BP180" s="64"/>
      <c r="BQ180" s="61"/>
      <c r="BR180" s="65"/>
      <c r="BS180" s="66"/>
      <c r="BT180" s="64"/>
      <c r="BU180" s="61"/>
      <c r="BV180" s="65"/>
      <c r="BW180" s="66"/>
      <c r="BX180" s="431"/>
      <c r="BY180" s="68"/>
      <c r="BZ180" s="69">
        <f t="shared" si="129"/>
        <v>0</v>
      </c>
      <c r="CA180" s="70"/>
      <c r="CB180" s="71"/>
      <c r="CC180" s="72">
        <f t="shared" si="130"/>
        <v>-7</v>
      </c>
      <c r="CD180" s="562">
        <v>0.24</v>
      </c>
      <c r="CE180" s="561"/>
      <c r="CF180" s="73"/>
      <c r="CG180" s="74"/>
      <c r="CH180" s="74"/>
      <c r="CI180" s="74"/>
      <c r="CJ180" s="74"/>
      <c r="CK180" s="74"/>
      <c r="CL180" s="74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31">
        <v>7</v>
      </c>
      <c r="DB180" s="31">
        <v>7</v>
      </c>
      <c r="DC180" s="31">
        <v>7</v>
      </c>
      <c r="DD180" s="31">
        <v>7</v>
      </c>
      <c r="DE180" s="31">
        <v>7</v>
      </c>
      <c r="DF180" s="108">
        <f t="shared" si="133"/>
        <v>3.5</v>
      </c>
      <c r="DG180" s="134">
        <f>DF180</f>
        <v>3.5</v>
      </c>
      <c r="DI180" s="826"/>
      <c r="DJ180" s="788"/>
    </row>
    <row r="181" spans="1:114" s="783" customFormat="1" hidden="1">
      <c r="A181" s="177"/>
      <c r="B181" s="187" t="s">
        <v>7</v>
      </c>
      <c r="C181" s="837" t="s">
        <v>54</v>
      </c>
      <c r="D181" s="31">
        <v>40</v>
      </c>
      <c r="E181" s="31">
        <v>50</v>
      </c>
      <c r="F181" s="31">
        <v>50</v>
      </c>
      <c r="G181" s="31">
        <v>50</v>
      </c>
      <c r="H181" s="134">
        <v>29.62</v>
      </c>
      <c r="I181" s="134"/>
      <c r="J181" s="134"/>
      <c r="K181" s="134"/>
      <c r="L181" s="134">
        <f>G181/12</f>
        <v>4.166666666666667</v>
      </c>
      <c r="M181" s="134">
        <v>0.69</v>
      </c>
      <c r="N181" s="134">
        <f>H181/12</f>
        <v>2.4683333333333333</v>
      </c>
      <c r="O181" s="134">
        <v>0.69</v>
      </c>
      <c r="P181" s="134"/>
      <c r="Q181" s="134"/>
      <c r="R181" s="134"/>
      <c r="S181" s="134"/>
      <c r="T181" s="134"/>
      <c r="U181" s="134"/>
      <c r="V181" s="134"/>
      <c r="W181" s="134"/>
      <c r="X181" s="134">
        <f>O181-N181</f>
        <v>-1.7783333333333333</v>
      </c>
      <c r="Y181" s="155">
        <f>O181/N181</f>
        <v>0.27954085077650237</v>
      </c>
      <c r="Z181" s="134">
        <v>2.4700000000000002</v>
      </c>
      <c r="AA181" s="134">
        <v>5.08</v>
      </c>
      <c r="AB181" s="134">
        <v>2.4700000000000002</v>
      </c>
      <c r="AC181" s="134"/>
      <c r="AD181" s="134"/>
      <c r="AE181" s="134"/>
      <c r="AF181" s="134"/>
      <c r="AG181" s="134"/>
      <c r="AH181" s="134"/>
      <c r="AI181" s="134"/>
      <c r="AJ181" s="134">
        <f>AC181-AB181</f>
        <v>-2.4700000000000002</v>
      </c>
      <c r="AK181" s="156">
        <f>AC181/AB181</f>
        <v>0</v>
      </c>
      <c r="AL181" s="134">
        <v>2.4700000000000002</v>
      </c>
      <c r="AM181" s="134">
        <v>5.08</v>
      </c>
      <c r="AN181" s="134">
        <v>2.4700000000000002</v>
      </c>
      <c r="AO181" s="134"/>
      <c r="AP181" s="134"/>
      <c r="AQ181" s="134"/>
      <c r="AR181" s="134"/>
      <c r="AS181" s="134"/>
      <c r="AT181" s="134"/>
      <c r="AU181" s="134"/>
      <c r="AV181" s="134">
        <f>AO181-AN181</f>
        <v>-2.4700000000000002</v>
      </c>
      <c r="AW181" s="156">
        <f>AO181/AN181</f>
        <v>0</v>
      </c>
      <c r="AX181" s="31">
        <f>G181/2</f>
        <v>25</v>
      </c>
      <c r="AY181" s="31">
        <v>0.37</v>
      </c>
      <c r="AZ181" s="109"/>
      <c r="BA181" s="62">
        <v>0.57999999999999996</v>
      </c>
      <c r="BB181" s="62"/>
      <c r="BC181" s="62">
        <v>0.71</v>
      </c>
      <c r="BD181" s="62"/>
      <c r="BE181" s="110">
        <v>0.26</v>
      </c>
      <c r="BF181" s="109">
        <v>0.6</v>
      </c>
      <c r="BG181" s="62"/>
      <c r="BH181" s="62"/>
      <c r="BI181" s="110"/>
      <c r="BJ181" s="426">
        <f t="shared" si="122"/>
        <v>0.57999999999999996</v>
      </c>
      <c r="BK181" s="427" t="e">
        <f>BA181/AZ181</f>
        <v>#DIV/0!</v>
      </c>
      <c r="BL181" s="560"/>
      <c r="BM181" s="109">
        <v>5.077</v>
      </c>
      <c r="BN181" s="62"/>
      <c r="BO181" s="470"/>
      <c r="BP181" s="64"/>
      <c r="BQ181" s="61"/>
      <c r="BR181" s="65"/>
      <c r="BS181" s="66"/>
      <c r="BT181" s="64"/>
      <c r="BU181" s="61"/>
      <c r="BV181" s="65"/>
      <c r="BW181" s="66"/>
      <c r="BX181" s="431"/>
      <c r="BY181" s="68"/>
      <c r="BZ181" s="69">
        <f t="shared" si="129"/>
        <v>5.7669999999999995</v>
      </c>
      <c r="CA181" s="70"/>
      <c r="CB181" s="71"/>
      <c r="CC181" s="72">
        <f t="shared" si="130"/>
        <v>-44.233000000000004</v>
      </c>
      <c r="CD181" s="562">
        <v>61.63</v>
      </c>
      <c r="CE181" s="561"/>
      <c r="CF181" s="73"/>
      <c r="CG181" s="74"/>
      <c r="CH181" s="74"/>
      <c r="CI181" s="74"/>
      <c r="CJ181" s="74"/>
      <c r="CK181" s="74"/>
      <c r="CL181" s="74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31">
        <v>50</v>
      </c>
      <c r="DB181" s="31">
        <v>50</v>
      </c>
      <c r="DC181" s="31">
        <v>50</v>
      </c>
      <c r="DD181" s="31">
        <v>50</v>
      </c>
      <c r="DE181" s="31">
        <v>50</v>
      </c>
      <c r="DF181" s="108">
        <f t="shared" si="133"/>
        <v>25</v>
      </c>
      <c r="DG181" s="134">
        <f>DF181</f>
        <v>25</v>
      </c>
      <c r="DI181" s="826"/>
      <c r="DJ181" s="788"/>
    </row>
    <row r="182" spans="1:114" s="783" customFormat="1" hidden="1">
      <c r="A182" s="177"/>
      <c r="B182" s="187" t="s">
        <v>65</v>
      </c>
      <c r="C182" s="837" t="s">
        <v>54</v>
      </c>
      <c r="D182" s="31">
        <v>6.25</v>
      </c>
      <c r="E182" s="31">
        <v>6.63</v>
      </c>
      <c r="F182" s="31">
        <v>6.63</v>
      </c>
      <c r="G182" s="31">
        <v>6.63</v>
      </c>
      <c r="H182" s="134"/>
      <c r="I182" s="134"/>
      <c r="J182" s="134"/>
      <c r="K182" s="134"/>
      <c r="L182" s="242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55"/>
      <c r="Z182" s="242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56"/>
      <c r="AL182" s="242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56"/>
      <c r="AX182" s="31"/>
      <c r="AY182" s="31">
        <v>7.6</v>
      </c>
      <c r="AZ182" s="109"/>
      <c r="BA182" s="62">
        <v>2.8</v>
      </c>
      <c r="BB182" s="62"/>
      <c r="BC182" s="62">
        <v>2.95</v>
      </c>
      <c r="BD182" s="62"/>
      <c r="BE182" s="110">
        <v>0.88</v>
      </c>
      <c r="BF182" s="109"/>
      <c r="BG182" s="62"/>
      <c r="BH182" s="62"/>
      <c r="BI182" s="110"/>
      <c r="BJ182" s="426">
        <f t="shared" si="122"/>
        <v>2.8</v>
      </c>
      <c r="BK182" s="427"/>
      <c r="BL182" s="560"/>
      <c r="BM182" s="109"/>
      <c r="BN182" s="62"/>
      <c r="BO182" s="470"/>
      <c r="BP182" s="64"/>
      <c r="BQ182" s="61"/>
      <c r="BR182" s="65"/>
      <c r="BS182" s="66"/>
      <c r="BT182" s="64"/>
      <c r="BU182" s="61"/>
      <c r="BV182" s="65"/>
      <c r="BW182" s="66"/>
      <c r="BX182" s="431"/>
      <c r="BY182" s="68"/>
      <c r="BZ182" s="69">
        <f t="shared" si="129"/>
        <v>0</v>
      </c>
      <c r="CA182" s="70"/>
      <c r="CB182" s="71"/>
      <c r="CC182" s="72">
        <f t="shared" si="130"/>
        <v>-6.63</v>
      </c>
      <c r="CD182" s="562">
        <v>0.96</v>
      </c>
      <c r="CE182" s="561"/>
      <c r="CF182" s="73"/>
      <c r="CG182" s="74"/>
      <c r="CH182" s="74"/>
      <c r="CI182" s="74"/>
      <c r="CJ182" s="74"/>
      <c r="CK182" s="74"/>
      <c r="CL182" s="74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31">
        <v>6.63</v>
      </c>
      <c r="DB182" s="31">
        <v>6.63</v>
      </c>
      <c r="DC182" s="31">
        <v>6.63</v>
      </c>
      <c r="DD182" s="31">
        <v>6.63</v>
      </c>
      <c r="DE182" s="31">
        <v>6.63</v>
      </c>
      <c r="DF182" s="108">
        <f t="shared" si="133"/>
        <v>3.3149999999999999</v>
      </c>
      <c r="DG182" s="134">
        <f>DF182</f>
        <v>3.3149999999999999</v>
      </c>
      <c r="DI182" s="826"/>
      <c r="DJ182" s="788"/>
    </row>
    <row r="183" spans="1:114" s="783" customFormat="1" hidden="1">
      <c r="A183" s="177"/>
      <c r="B183" s="187" t="s">
        <v>55</v>
      </c>
      <c r="C183" s="837" t="s">
        <v>54</v>
      </c>
      <c r="D183" s="31">
        <v>90</v>
      </c>
      <c r="E183" s="31"/>
      <c r="F183" s="31"/>
      <c r="G183" s="31"/>
      <c r="H183" s="134"/>
      <c r="I183" s="134"/>
      <c r="J183" s="134"/>
      <c r="K183" s="134"/>
      <c r="L183" s="242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55"/>
      <c r="Z183" s="242"/>
      <c r="AA183" s="134">
        <v>64.86</v>
      </c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56"/>
      <c r="AL183" s="242"/>
      <c r="AM183" s="134">
        <v>64.86</v>
      </c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56"/>
      <c r="AX183" s="31"/>
      <c r="AY183" s="31">
        <v>18.96</v>
      </c>
      <c r="AZ183" s="109"/>
      <c r="BA183" s="62"/>
      <c r="BB183" s="62"/>
      <c r="BC183" s="62"/>
      <c r="BD183" s="62"/>
      <c r="BE183" s="110"/>
      <c r="BF183" s="109"/>
      <c r="BG183" s="62"/>
      <c r="BH183" s="62"/>
      <c r="BI183" s="110"/>
      <c r="BJ183" s="426">
        <f t="shared" si="122"/>
        <v>0</v>
      </c>
      <c r="BK183" s="427"/>
      <c r="BL183" s="560"/>
      <c r="BM183" s="109">
        <v>64.856999999999999</v>
      </c>
      <c r="BN183" s="62"/>
      <c r="BO183" s="470"/>
      <c r="BP183" s="64"/>
      <c r="BQ183" s="61"/>
      <c r="BR183" s="65"/>
      <c r="BS183" s="66"/>
      <c r="BT183" s="64"/>
      <c r="BU183" s="61"/>
      <c r="BV183" s="65"/>
      <c r="BW183" s="66"/>
      <c r="BX183" s="431"/>
      <c r="BY183" s="68"/>
      <c r="BZ183" s="69"/>
      <c r="CA183" s="70"/>
      <c r="CB183" s="71"/>
      <c r="CC183" s="72"/>
      <c r="CD183" s="562"/>
      <c r="CE183" s="561"/>
      <c r="CF183" s="73"/>
      <c r="CG183" s="74"/>
      <c r="CH183" s="74"/>
      <c r="CI183" s="74"/>
      <c r="CJ183" s="74"/>
      <c r="CK183" s="74"/>
      <c r="CL183" s="74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31"/>
      <c r="DB183" s="31"/>
      <c r="DC183" s="31"/>
      <c r="DD183" s="31"/>
      <c r="DE183" s="31"/>
      <c r="DF183" s="108">
        <f t="shared" si="133"/>
        <v>0</v>
      </c>
      <c r="DG183" s="134"/>
      <c r="DI183" s="826"/>
      <c r="DJ183" s="788"/>
    </row>
    <row r="184" spans="1:114" s="783" customFormat="1" ht="24" hidden="1">
      <c r="A184" s="177"/>
      <c r="B184" s="187" t="s">
        <v>164</v>
      </c>
      <c r="C184" s="837" t="s">
        <v>54</v>
      </c>
      <c r="D184" s="31"/>
      <c r="E184" s="31"/>
      <c r="F184" s="31"/>
      <c r="G184" s="31"/>
      <c r="H184" s="134"/>
      <c r="I184" s="134"/>
      <c r="J184" s="134"/>
      <c r="K184" s="134"/>
      <c r="L184" s="242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55"/>
      <c r="Z184" s="24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56"/>
      <c r="AL184" s="242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56"/>
      <c r="AX184" s="31"/>
      <c r="AY184" s="31">
        <v>42.66</v>
      </c>
      <c r="AZ184" s="109"/>
      <c r="BA184" s="62"/>
      <c r="BB184" s="62"/>
      <c r="BC184" s="62"/>
      <c r="BD184" s="62"/>
      <c r="BE184" s="110"/>
      <c r="BF184" s="109"/>
      <c r="BG184" s="62">
        <v>1.65</v>
      </c>
      <c r="BH184" s="62"/>
      <c r="BI184" s="110"/>
      <c r="BJ184" s="426"/>
      <c r="BK184" s="427"/>
      <c r="BL184" s="560"/>
      <c r="BM184" s="109"/>
      <c r="BN184" s="62"/>
      <c r="BO184" s="470"/>
      <c r="BP184" s="64"/>
      <c r="BQ184" s="61"/>
      <c r="BR184" s="65"/>
      <c r="BS184" s="66"/>
      <c r="BT184" s="64"/>
      <c r="BU184" s="61"/>
      <c r="BV184" s="65"/>
      <c r="BW184" s="66"/>
      <c r="BX184" s="431"/>
      <c r="BY184" s="68"/>
      <c r="BZ184" s="69"/>
      <c r="CA184" s="70"/>
      <c r="CB184" s="71"/>
      <c r="CC184" s="72"/>
      <c r="CD184" s="562"/>
      <c r="CE184" s="561"/>
      <c r="CF184" s="73"/>
      <c r="CG184" s="74"/>
      <c r="CH184" s="74"/>
      <c r="CI184" s="74"/>
      <c r="CJ184" s="74"/>
      <c r="CK184" s="74"/>
      <c r="CL184" s="74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31"/>
      <c r="DB184" s="31"/>
      <c r="DC184" s="31"/>
      <c r="DD184" s="31"/>
      <c r="DE184" s="31"/>
      <c r="DF184" s="108">
        <f t="shared" si="133"/>
        <v>0</v>
      </c>
      <c r="DG184" s="134"/>
      <c r="DI184" s="826"/>
      <c r="DJ184" s="788"/>
    </row>
    <row r="185" spans="1:114" s="783" customFormat="1" hidden="1">
      <c r="A185" s="177"/>
      <c r="B185" s="187" t="s">
        <v>313</v>
      </c>
      <c r="C185" s="837" t="s">
        <v>54</v>
      </c>
      <c r="D185" s="31"/>
      <c r="E185" s="31"/>
      <c r="F185" s="31"/>
      <c r="G185" s="31"/>
      <c r="H185" s="134"/>
      <c r="I185" s="134"/>
      <c r="J185" s="134"/>
      <c r="K185" s="134"/>
      <c r="L185" s="242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55"/>
      <c r="Z185" s="242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56"/>
      <c r="AL185" s="242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56"/>
      <c r="AX185" s="31"/>
      <c r="AY185" s="31">
        <v>9</v>
      </c>
      <c r="AZ185" s="109"/>
      <c r="BA185" s="62"/>
      <c r="BB185" s="62"/>
      <c r="BC185" s="62"/>
      <c r="BD185" s="62"/>
      <c r="BE185" s="110"/>
      <c r="BF185" s="109"/>
      <c r="BG185" s="62"/>
      <c r="BH185" s="62"/>
      <c r="BI185" s="110"/>
      <c r="BJ185" s="426"/>
      <c r="BK185" s="427"/>
      <c r="BL185" s="560"/>
      <c r="BM185" s="109"/>
      <c r="BN185" s="62"/>
      <c r="BO185" s="470"/>
      <c r="BP185" s="64"/>
      <c r="BQ185" s="61"/>
      <c r="BR185" s="65"/>
      <c r="BS185" s="66"/>
      <c r="BT185" s="64"/>
      <c r="BU185" s="61"/>
      <c r="BV185" s="65"/>
      <c r="BW185" s="66"/>
      <c r="BX185" s="431"/>
      <c r="BY185" s="68"/>
      <c r="BZ185" s="69"/>
      <c r="CA185" s="70"/>
      <c r="CB185" s="71"/>
      <c r="CC185" s="72"/>
      <c r="CD185" s="562"/>
      <c r="CE185" s="561"/>
      <c r="CF185" s="73"/>
      <c r="CG185" s="74"/>
      <c r="CH185" s="74"/>
      <c r="CI185" s="74"/>
      <c r="CJ185" s="74"/>
      <c r="CK185" s="74"/>
      <c r="CL185" s="74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31"/>
      <c r="DB185" s="31"/>
      <c r="DC185" s="31"/>
      <c r="DD185" s="31"/>
      <c r="DE185" s="31"/>
      <c r="DF185" s="108">
        <f t="shared" si="133"/>
        <v>0</v>
      </c>
      <c r="DG185" s="134"/>
      <c r="DI185" s="826"/>
      <c r="DJ185" s="788"/>
    </row>
    <row r="186" spans="1:114" s="783" customFormat="1" hidden="1">
      <c r="A186" s="177"/>
      <c r="B186" s="187" t="s">
        <v>162</v>
      </c>
      <c r="C186" s="837" t="s">
        <v>54</v>
      </c>
      <c r="D186" s="31"/>
      <c r="E186" s="31"/>
      <c r="F186" s="31"/>
      <c r="G186" s="31"/>
      <c r="H186" s="134"/>
      <c r="I186" s="134"/>
      <c r="J186" s="134"/>
      <c r="K186" s="134"/>
      <c r="L186" s="242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55"/>
      <c r="Z186" s="24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56"/>
      <c r="AL186" s="242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56"/>
      <c r="AX186" s="31"/>
      <c r="AY186" s="31">
        <v>3.19</v>
      </c>
      <c r="AZ186" s="109"/>
      <c r="BA186" s="62"/>
      <c r="BB186" s="62"/>
      <c r="BC186" s="62"/>
      <c r="BD186" s="62"/>
      <c r="BE186" s="110"/>
      <c r="BF186" s="109"/>
      <c r="BG186" s="62"/>
      <c r="BH186" s="62"/>
      <c r="BI186" s="110"/>
      <c r="BJ186" s="426"/>
      <c r="BK186" s="427"/>
      <c r="BL186" s="560"/>
      <c r="BM186" s="109"/>
      <c r="BN186" s="62"/>
      <c r="BO186" s="470"/>
      <c r="BP186" s="64"/>
      <c r="BQ186" s="61"/>
      <c r="BR186" s="65"/>
      <c r="BS186" s="66"/>
      <c r="BT186" s="64"/>
      <c r="BU186" s="61"/>
      <c r="BV186" s="65"/>
      <c r="BW186" s="66"/>
      <c r="BX186" s="431"/>
      <c r="BY186" s="68"/>
      <c r="BZ186" s="69"/>
      <c r="CA186" s="70"/>
      <c r="CB186" s="71"/>
      <c r="CC186" s="72"/>
      <c r="CD186" s="562"/>
      <c r="CE186" s="561"/>
      <c r="CF186" s="73"/>
      <c r="CG186" s="74"/>
      <c r="CH186" s="74"/>
      <c r="CI186" s="74"/>
      <c r="CJ186" s="74"/>
      <c r="CK186" s="74"/>
      <c r="CL186" s="74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31"/>
      <c r="DB186" s="31"/>
      <c r="DC186" s="31"/>
      <c r="DD186" s="31"/>
      <c r="DE186" s="31"/>
      <c r="DF186" s="108">
        <f t="shared" si="133"/>
        <v>0</v>
      </c>
      <c r="DG186" s="134"/>
      <c r="DI186" s="826"/>
      <c r="DJ186" s="788"/>
    </row>
    <row r="187" spans="1:114" s="783" customFormat="1" hidden="1">
      <c r="A187" s="177"/>
      <c r="B187" s="187" t="s">
        <v>165</v>
      </c>
      <c r="C187" s="837" t="s">
        <v>54</v>
      </c>
      <c r="D187" s="31"/>
      <c r="E187" s="31"/>
      <c r="F187" s="31"/>
      <c r="G187" s="31"/>
      <c r="H187" s="134"/>
      <c r="I187" s="134"/>
      <c r="J187" s="134"/>
      <c r="K187" s="134"/>
      <c r="L187" s="242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55"/>
      <c r="Z187" s="242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56"/>
      <c r="AL187" s="242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56"/>
      <c r="AX187" s="31"/>
      <c r="AY187" s="31"/>
      <c r="AZ187" s="109"/>
      <c r="BA187" s="62">
        <v>48.66</v>
      </c>
      <c r="BB187" s="62"/>
      <c r="BC187" s="62">
        <v>9.5299999999999994</v>
      </c>
      <c r="BD187" s="62"/>
      <c r="BE187" s="110">
        <v>2.35</v>
      </c>
      <c r="BF187" s="109"/>
      <c r="BG187" s="62"/>
      <c r="BH187" s="62"/>
      <c r="BI187" s="110"/>
      <c r="BJ187" s="426"/>
      <c r="BK187" s="427"/>
      <c r="BL187" s="560"/>
      <c r="BM187" s="109"/>
      <c r="BN187" s="62"/>
      <c r="BO187" s="470"/>
      <c r="BP187" s="64"/>
      <c r="BQ187" s="61"/>
      <c r="BR187" s="65"/>
      <c r="BS187" s="66"/>
      <c r="BT187" s="64"/>
      <c r="BU187" s="61"/>
      <c r="BV187" s="65"/>
      <c r="BW187" s="66"/>
      <c r="BX187" s="431"/>
      <c r="BY187" s="68"/>
      <c r="BZ187" s="69"/>
      <c r="CA187" s="70"/>
      <c r="CB187" s="71"/>
      <c r="CC187" s="72"/>
      <c r="CD187" s="562"/>
      <c r="CE187" s="561"/>
      <c r="CF187" s="73"/>
      <c r="CG187" s="74"/>
      <c r="CH187" s="74"/>
      <c r="CI187" s="74"/>
      <c r="CJ187" s="74"/>
      <c r="CK187" s="74"/>
      <c r="CL187" s="74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31"/>
      <c r="DB187" s="31"/>
      <c r="DC187" s="31"/>
      <c r="DD187" s="31"/>
      <c r="DE187" s="31"/>
      <c r="DF187" s="108">
        <f t="shared" si="133"/>
        <v>0</v>
      </c>
      <c r="DG187" s="134"/>
      <c r="DI187" s="826"/>
      <c r="DJ187" s="788"/>
    </row>
    <row r="188" spans="1:114" s="783" customFormat="1" hidden="1">
      <c r="A188" s="177"/>
      <c r="B188" s="187" t="s">
        <v>212</v>
      </c>
      <c r="C188" s="837" t="s">
        <v>54</v>
      </c>
      <c r="D188" s="31"/>
      <c r="E188" s="31"/>
      <c r="F188" s="31"/>
      <c r="G188" s="31"/>
      <c r="H188" s="134"/>
      <c r="I188" s="134"/>
      <c r="J188" s="134"/>
      <c r="K188" s="134"/>
      <c r="L188" s="242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55"/>
      <c r="Z188" s="242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56"/>
      <c r="AL188" s="242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56"/>
      <c r="AX188" s="31"/>
      <c r="AY188" s="31"/>
      <c r="AZ188" s="109"/>
      <c r="BA188" s="62"/>
      <c r="BB188" s="62"/>
      <c r="BC188" s="62"/>
      <c r="BD188" s="62"/>
      <c r="BE188" s="110"/>
      <c r="BF188" s="109"/>
      <c r="BG188" s="62">
        <f>AY188</f>
        <v>0</v>
      </c>
      <c r="BH188" s="62"/>
      <c r="BI188" s="110"/>
      <c r="BJ188" s="426"/>
      <c r="BK188" s="427"/>
      <c r="BL188" s="560"/>
      <c r="BM188" s="109"/>
      <c r="BN188" s="62"/>
      <c r="BO188" s="470"/>
      <c r="BP188" s="64"/>
      <c r="BQ188" s="61"/>
      <c r="BR188" s="65"/>
      <c r="BS188" s="66"/>
      <c r="BT188" s="64"/>
      <c r="BU188" s="61"/>
      <c r="BV188" s="65"/>
      <c r="BW188" s="66"/>
      <c r="BX188" s="431"/>
      <c r="BY188" s="68"/>
      <c r="BZ188" s="69"/>
      <c r="CA188" s="70"/>
      <c r="CB188" s="71"/>
      <c r="CC188" s="72"/>
      <c r="CD188" s="562"/>
      <c r="CE188" s="561"/>
      <c r="CF188" s="73"/>
      <c r="CG188" s="74"/>
      <c r="CH188" s="74"/>
      <c r="CI188" s="74"/>
      <c r="CJ188" s="74"/>
      <c r="CK188" s="74"/>
      <c r="CL188" s="74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31"/>
      <c r="DB188" s="31"/>
      <c r="DC188" s="31"/>
      <c r="DD188" s="31"/>
      <c r="DE188" s="31"/>
      <c r="DF188" s="108">
        <f t="shared" si="133"/>
        <v>0</v>
      </c>
      <c r="DG188" s="134"/>
      <c r="DI188" s="826"/>
      <c r="DJ188" s="788"/>
    </row>
    <row r="189" spans="1:114" s="783" customFormat="1" hidden="1">
      <c r="A189" s="177"/>
      <c r="B189" s="187" t="s">
        <v>13</v>
      </c>
      <c r="C189" s="837" t="s">
        <v>54</v>
      </c>
      <c r="D189" s="31"/>
      <c r="E189" s="31"/>
      <c r="F189" s="31"/>
      <c r="G189" s="31"/>
      <c r="H189" s="134"/>
      <c r="I189" s="134"/>
      <c r="J189" s="134"/>
      <c r="K189" s="134"/>
      <c r="L189" s="242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55"/>
      <c r="Z189" s="242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56"/>
      <c r="AL189" s="242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56"/>
      <c r="AX189" s="31"/>
      <c r="AY189" s="31">
        <v>159.19</v>
      </c>
      <c r="AZ189" s="109"/>
      <c r="BA189" s="62"/>
      <c r="BB189" s="62"/>
      <c r="BC189" s="62"/>
      <c r="BD189" s="62"/>
      <c r="BE189" s="110"/>
      <c r="BF189" s="109"/>
      <c r="BG189" s="62">
        <v>6.92</v>
      </c>
      <c r="BH189" s="62"/>
      <c r="BI189" s="110"/>
      <c r="BJ189" s="426">
        <f>BA189-AZ189</f>
        <v>0</v>
      </c>
      <c r="BK189" s="427"/>
      <c r="BL189" s="560"/>
      <c r="BM189" s="109"/>
      <c r="BN189" s="62"/>
      <c r="BO189" s="470"/>
      <c r="BP189" s="64"/>
      <c r="BQ189" s="61"/>
      <c r="BR189" s="65"/>
      <c r="BS189" s="66"/>
      <c r="BT189" s="64"/>
      <c r="BU189" s="61"/>
      <c r="BV189" s="65"/>
      <c r="BW189" s="66"/>
      <c r="BX189" s="431"/>
      <c r="BY189" s="68"/>
      <c r="BZ189" s="69">
        <f>M189+BM189+BQ189+BU189</f>
        <v>0</v>
      </c>
      <c r="CA189" s="70"/>
      <c r="CB189" s="71"/>
      <c r="CC189" s="72">
        <f>BZ189-E189</f>
        <v>0</v>
      </c>
      <c r="CD189" s="562">
        <v>0.23</v>
      </c>
      <c r="CE189" s="561"/>
      <c r="CF189" s="73"/>
      <c r="CG189" s="74"/>
      <c r="CH189" s="74"/>
      <c r="CI189" s="74"/>
      <c r="CJ189" s="74"/>
      <c r="CK189" s="74"/>
      <c r="CL189" s="74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31"/>
      <c r="DB189" s="31"/>
      <c r="DC189" s="31"/>
      <c r="DD189" s="31"/>
      <c r="DE189" s="31"/>
      <c r="DF189" s="108">
        <f t="shared" si="133"/>
        <v>0</v>
      </c>
      <c r="DG189" s="134"/>
      <c r="DI189" s="826"/>
      <c r="DJ189" s="788"/>
    </row>
    <row r="190" spans="1:114" s="783" customFormat="1" hidden="1">
      <c r="A190" s="177"/>
      <c r="B190" s="187" t="s">
        <v>232</v>
      </c>
      <c r="C190" s="837" t="s">
        <v>54</v>
      </c>
      <c r="D190" s="31">
        <v>57.5</v>
      </c>
      <c r="E190" s="31">
        <v>341.36</v>
      </c>
      <c r="F190" s="31"/>
      <c r="G190" s="31"/>
      <c r="H190" s="134"/>
      <c r="I190" s="134"/>
      <c r="J190" s="134"/>
      <c r="K190" s="134"/>
      <c r="L190" s="242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55"/>
      <c r="Z190" s="242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56"/>
      <c r="AL190" s="242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56"/>
      <c r="AX190" s="31"/>
      <c r="AY190" s="31">
        <v>612.07000000000005</v>
      </c>
      <c r="AZ190" s="109"/>
      <c r="BA190" s="62">
        <v>37.47</v>
      </c>
      <c r="BB190" s="62"/>
      <c r="BC190" s="62">
        <v>37.46</v>
      </c>
      <c r="BD190" s="62"/>
      <c r="BE190" s="110"/>
      <c r="BF190" s="109"/>
      <c r="BG190" s="62"/>
      <c r="BH190" s="62"/>
      <c r="BI190" s="110"/>
      <c r="BJ190" s="426"/>
      <c r="BK190" s="427"/>
      <c r="BL190" s="560"/>
      <c r="BM190" s="109"/>
      <c r="BN190" s="62"/>
      <c r="BO190" s="470"/>
      <c r="BP190" s="64"/>
      <c r="BQ190" s="61"/>
      <c r="BR190" s="65"/>
      <c r="BS190" s="66"/>
      <c r="BT190" s="64"/>
      <c r="BU190" s="61"/>
      <c r="BV190" s="65"/>
      <c r="BW190" s="66"/>
      <c r="BX190" s="431"/>
      <c r="BY190" s="68"/>
      <c r="BZ190" s="69"/>
      <c r="CA190" s="70"/>
      <c r="CB190" s="71"/>
      <c r="CC190" s="72"/>
      <c r="CD190" s="562"/>
      <c r="CE190" s="561"/>
      <c r="CF190" s="73"/>
      <c r="CG190" s="74"/>
      <c r="CH190" s="74"/>
      <c r="CI190" s="74"/>
      <c r="CJ190" s="74"/>
      <c r="CK190" s="74"/>
      <c r="CL190" s="74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395">
        <v>341.36</v>
      </c>
      <c r="DB190" s="31">
        <v>0</v>
      </c>
      <c r="DC190" s="31"/>
      <c r="DD190" s="31"/>
      <c r="DE190" s="31"/>
      <c r="DF190" s="108">
        <f t="shared" si="133"/>
        <v>0</v>
      </c>
      <c r="DG190" s="134"/>
      <c r="DI190" s="826"/>
      <c r="DJ190" s="788"/>
    </row>
    <row r="191" spans="1:114" s="783" customFormat="1" hidden="1">
      <c r="A191" s="177"/>
      <c r="B191" s="187" t="s">
        <v>182</v>
      </c>
      <c r="C191" s="837" t="s">
        <v>54</v>
      </c>
      <c r="D191" s="31">
        <v>24</v>
      </c>
      <c r="E191" s="31">
        <v>24</v>
      </c>
      <c r="F191" s="31">
        <v>24</v>
      </c>
      <c r="G191" s="31">
        <v>24</v>
      </c>
      <c r="H191" s="134"/>
      <c r="I191" s="134"/>
      <c r="J191" s="134"/>
      <c r="K191" s="134"/>
      <c r="L191" s="242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55"/>
      <c r="Z191" s="242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56"/>
      <c r="AL191" s="242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56"/>
      <c r="AX191" s="31"/>
      <c r="AY191" s="31">
        <v>12</v>
      </c>
      <c r="AZ191" s="109"/>
      <c r="BA191" s="62">
        <v>1.03</v>
      </c>
      <c r="BB191" s="62"/>
      <c r="BC191" s="62">
        <v>1.03</v>
      </c>
      <c r="BD191" s="62"/>
      <c r="BE191" s="110"/>
      <c r="BF191" s="109"/>
      <c r="BG191" s="62"/>
      <c r="BH191" s="62"/>
      <c r="BI191" s="110"/>
      <c r="BJ191" s="426"/>
      <c r="BK191" s="427"/>
      <c r="BL191" s="560"/>
      <c r="BM191" s="109"/>
      <c r="BN191" s="62"/>
      <c r="BO191" s="470"/>
      <c r="BP191" s="64"/>
      <c r="BQ191" s="61"/>
      <c r="BR191" s="65"/>
      <c r="BS191" s="66"/>
      <c r="BT191" s="64"/>
      <c r="BU191" s="61"/>
      <c r="BV191" s="65"/>
      <c r="BW191" s="66"/>
      <c r="BX191" s="431"/>
      <c r="BY191" s="68"/>
      <c r="BZ191" s="69"/>
      <c r="CA191" s="70"/>
      <c r="CB191" s="71"/>
      <c r="CC191" s="72"/>
      <c r="CD191" s="562"/>
      <c r="CE191" s="561"/>
      <c r="CF191" s="73"/>
      <c r="CG191" s="74"/>
      <c r="CH191" s="74"/>
      <c r="CI191" s="74"/>
      <c r="CJ191" s="74"/>
      <c r="CK191" s="74"/>
      <c r="CL191" s="74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31">
        <v>24</v>
      </c>
      <c r="DB191" s="31">
        <v>24</v>
      </c>
      <c r="DC191" s="31">
        <v>24</v>
      </c>
      <c r="DD191" s="31">
        <v>24</v>
      </c>
      <c r="DE191" s="31">
        <v>24</v>
      </c>
      <c r="DF191" s="108">
        <f t="shared" si="133"/>
        <v>12</v>
      </c>
      <c r="DG191" s="134">
        <f>DF191</f>
        <v>12</v>
      </c>
      <c r="DI191" s="826"/>
      <c r="DJ191" s="788"/>
    </row>
    <row r="192" spans="1:114" s="783" customFormat="1" hidden="1">
      <c r="A192" s="177"/>
      <c r="B192" s="187" t="s">
        <v>250</v>
      </c>
      <c r="C192" s="837" t="s">
        <v>54</v>
      </c>
      <c r="D192" s="31"/>
      <c r="E192" s="31">
        <v>39.9</v>
      </c>
      <c r="F192" s="31">
        <v>39.9</v>
      </c>
      <c r="G192" s="31">
        <v>39.9</v>
      </c>
      <c r="H192" s="134"/>
      <c r="I192" s="134"/>
      <c r="J192" s="134"/>
      <c r="K192" s="134"/>
      <c r="L192" s="242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55"/>
      <c r="Z192" s="242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56"/>
      <c r="AL192" s="242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56"/>
      <c r="AX192" s="31"/>
      <c r="AY192" s="31"/>
      <c r="AZ192" s="109"/>
      <c r="BA192" s="62"/>
      <c r="BB192" s="62"/>
      <c r="BC192" s="62"/>
      <c r="BD192" s="62"/>
      <c r="BE192" s="110"/>
      <c r="BF192" s="109"/>
      <c r="BG192" s="62"/>
      <c r="BH192" s="62"/>
      <c r="BI192" s="110"/>
      <c r="BJ192" s="426"/>
      <c r="BK192" s="427"/>
      <c r="BL192" s="560"/>
      <c r="BM192" s="109"/>
      <c r="BN192" s="62"/>
      <c r="BO192" s="470"/>
      <c r="BP192" s="64"/>
      <c r="BQ192" s="61"/>
      <c r="BR192" s="65"/>
      <c r="BS192" s="66"/>
      <c r="BT192" s="64"/>
      <c r="BU192" s="61"/>
      <c r="BV192" s="65"/>
      <c r="BW192" s="66"/>
      <c r="BX192" s="431"/>
      <c r="BY192" s="68"/>
      <c r="BZ192" s="69"/>
      <c r="CA192" s="70"/>
      <c r="CB192" s="71"/>
      <c r="CC192" s="72"/>
      <c r="CD192" s="562"/>
      <c r="CE192" s="561"/>
      <c r="CF192" s="73"/>
      <c r="CG192" s="74"/>
      <c r="CH192" s="74"/>
      <c r="CI192" s="74"/>
      <c r="CJ192" s="74"/>
      <c r="CK192" s="74"/>
      <c r="CL192" s="74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31">
        <v>39.9</v>
      </c>
      <c r="DB192" s="31">
        <v>39.9</v>
      </c>
      <c r="DC192" s="31">
        <v>39.9</v>
      </c>
      <c r="DD192" s="31"/>
      <c r="DE192" s="31"/>
      <c r="DF192" s="108">
        <f t="shared" si="133"/>
        <v>0</v>
      </c>
      <c r="DG192" s="134">
        <f>DF192/2</f>
        <v>0</v>
      </c>
      <c r="DI192" s="826"/>
      <c r="DJ192" s="788"/>
    </row>
    <row r="193" spans="1:114" s="783" customFormat="1" hidden="1">
      <c r="A193" s="177"/>
      <c r="B193" s="187" t="s">
        <v>157</v>
      </c>
      <c r="C193" s="837" t="s">
        <v>54</v>
      </c>
      <c r="D193" s="31"/>
      <c r="E193" s="31"/>
      <c r="F193" s="31"/>
      <c r="G193" s="31"/>
      <c r="H193" s="134"/>
      <c r="I193" s="134"/>
      <c r="J193" s="134"/>
      <c r="K193" s="134"/>
      <c r="L193" s="242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55"/>
      <c r="Z193" s="242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56"/>
      <c r="AL193" s="242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56"/>
      <c r="AX193" s="31"/>
      <c r="AY193" s="31"/>
      <c r="AZ193" s="109"/>
      <c r="BA193" s="62">
        <v>1.43</v>
      </c>
      <c r="BB193" s="62"/>
      <c r="BC193" s="62">
        <v>1.42</v>
      </c>
      <c r="BD193" s="62"/>
      <c r="BE193" s="110"/>
      <c r="BF193" s="109"/>
      <c r="BG193" s="62"/>
      <c r="BH193" s="62"/>
      <c r="BI193" s="110"/>
      <c r="BJ193" s="426"/>
      <c r="BK193" s="427"/>
      <c r="BL193" s="560"/>
      <c r="BM193" s="109"/>
      <c r="BN193" s="62"/>
      <c r="BO193" s="470"/>
      <c r="BP193" s="64"/>
      <c r="BQ193" s="61"/>
      <c r="BR193" s="65"/>
      <c r="BS193" s="66"/>
      <c r="BT193" s="64"/>
      <c r="BU193" s="61"/>
      <c r="BV193" s="65"/>
      <c r="BW193" s="66"/>
      <c r="BX193" s="431"/>
      <c r="BY193" s="68"/>
      <c r="BZ193" s="69"/>
      <c r="CA193" s="70"/>
      <c r="CB193" s="71"/>
      <c r="CC193" s="72"/>
      <c r="CD193" s="562"/>
      <c r="CE193" s="561"/>
      <c r="CF193" s="73"/>
      <c r="CG193" s="74"/>
      <c r="CH193" s="74"/>
      <c r="CI193" s="74"/>
      <c r="CJ193" s="74"/>
      <c r="CK193" s="74"/>
      <c r="CL193" s="74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31"/>
      <c r="DB193" s="31"/>
      <c r="DC193" s="31"/>
      <c r="DD193" s="31"/>
      <c r="DE193" s="31"/>
      <c r="DF193" s="108">
        <f t="shared" si="133"/>
        <v>0</v>
      </c>
      <c r="DG193" s="134">
        <f>DF193/2</f>
        <v>0</v>
      </c>
      <c r="DI193" s="826"/>
      <c r="DJ193" s="788"/>
    </row>
    <row r="194" spans="1:114" s="783" customFormat="1" hidden="1">
      <c r="A194" s="177"/>
      <c r="B194" s="187" t="s">
        <v>186</v>
      </c>
      <c r="C194" s="837" t="s">
        <v>54</v>
      </c>
      <c r="D194" s="31"/>
      <c r="E194" s="31"/>
      <c r="F194" s="31"/>
      <c r="G194" s="31"/>
      <c r="H194" s="134"/>
      <c r="I194" s="134"/>
      <c r="J194" s="134"/>
      <c r="K194" s="134"/>
      <c r="L194" s="242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55"/>
      <c r="Z194" s="242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56"/>
      <c r="AL194" s="242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56"/>
      <c r="AX194" s="31"/>
      <c r="AY194" s="31"/>
      <c r="AZ194" s="109"/>
      <c r="BA194" s="62"/>
      <c r="BB194" s="62"/>
      <c r="BC194" s="62"/>
      <c r="BD194" s="62"/>
      <c r="BE194" s="110"/>
      <c r="BF194" s="109"/>
      <c r="BG194" s="62"/>
      <c r="BH194" s="62"/>
      <c r="BI194" s="110"/>
      <c r="BJ194" s="426"/>
      <c r="BK194" s="427"/>
      <c r="BL194" s="560"/>
      <c r="BM194" s="109"/>
      <c r="BN194" s="62"/>
      <c r="BO194" s="470"/>
      <c r="BP194" s="64"/>
      <c r="BQ194" s="61"/>
      <c r="BR194" s="65"/>
      <c r="BS194" s="66"/>
      <c r="BT194" s="64"/>
      <c r="BU194" s="61"/>
      <c r="BV194" s="65"/>
      <c r="BW194" s="66"/>
      <c r="BX194" s="431"/>
      <c r="BY194" s="68"/>
      <c r="BZ194" s="69"/>
      <c r="CA194" s="70"/>
      <c r="CB194" s="71"/>
      <c r="CC194" s="72"/>
      <c r="CD194" s="562"/>
      <c r="CE194" s="561"/>
      <c r="CF194" s="73"/>
      <c r="CG194" s="74"/>
      <c r="CH194" s="74"/>
      <c r="CI194" s="74"/>
      <c r="CJ194" s="74"/>
      <c r="CK194" s="74"/>
      <c r="CL194" s="74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31"/>
      <c r="DB194" s="31"/>
      <c r="DC194" s="31"/>
      <c r="DD194" s="31"/>
      <c r="DE194" s="31"/>
      <c r="DF194" s="108">
        <f t="shared" si="133"/>
        <v>0</v>
      </c>
      <c r="DG194" s="134">
        <f>DF194/2</f>
        <v>0</v>
      </c>
      <c r="DI194" s="826"/>
      <c r="DJ194" s="788"/>
    </row>
    <row r="195" spans="1:114" s="783" customFormat="1" hidden="1">
      <c r="A195" s="177"/>
      <c r="B195" s="187" t="s">
        <v>131</v>
      </c>
      <c r="C195" s="837" t="s">
        <v>54</v>
      </c>
      <c r="D195" s="31">
        <v>3.2</v>
      </c>
      <c r="E195" s="31"/>
      <c r="F195" s="31"/>
      <c r="G195" s="31"/>
      <c r="H195" s="134"/>
      <c r="I195" s="134"/>
      <c r="J195" s="134"/>
      <c r="K195" s="134"/>
      <c r="L195" s="242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55"/>
      <c r="Z195" s="242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56"/>
      <c r="AL195" s="242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56"/>
      <c r="AX195" s="31"/>
      <c r="AY195" s="31"/>
      <c r="AZ195" s="109"/>
      <c r="BA195" s="62"/>
      <c r="BB195" s="62"/>
      <c r="BC195" s="62"/>
      <c r="BD195" s="62"/>
      <c r="BE195" s="110"/>
      <c r="BF195" s="109"/>
      <c r="BG195" s="62"/>
      <c r="BH195" s="62"/>
      <c r="BI195" s="110"/>
      <c r="BJ195" s="426"/>
      <c r="BK195" s="427"/>
      <c r="BL195" s="560"/>
      <c r="BM195" s="109"/>
      <c r="BN195" s="62"/>
      <c r="BO195" s="470"/>
      <c r="BP195" s="64"/>
      <c r="BQ195" s="61"/>
      <c r="BR195" s="65"/>
      <c r="BS195" s="66"/>
      <c r="BT195" s="64"/>
      <c r="BU195" s="61"/>
      <c r="BV195" s="65"/>
      <c r="BW195" s="66"/>
      <c r="BX195" s="431"/>
      <c r="BY195" s="68"/>
      <c r="BZ195" s="69"/>
      <c r="CA195" s="70"/>
      <c r="CB195" s="71"/>
      <c r="CC195" s="72"/>
      <c r="CD195" s="562"/>
      <c r="CE195" s="561"/>
      <c r="CF195" s="73"/>
      <c r="CG195" s="74"/>
      <c r="CH195" s="74"/>
      <c r="CI195" s="74"/>
      <c r="CJ195" s="74"/>
      <c r="CK195" s="74"/>
      <c r="CL195" s="74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31"/>
      <c r="DB195" s="31"/>
      <c r="DC195" s="31"/>
      <c r="DD195" s="31"/>
      <c r="DE195" s="31"/>
      <c r="DF195" s="108">
        <f t="shared" si="133"/>
        <v>0</v>
      </c>
      <c r="DG195" s="134">
        <f>DF195/2</f>
        <v>0</v>
      </c>
      <c r="DI195" s="826"/>
      <c r="DJ195" s="788"/>
    </row>
    <row r="196" spans="1:114" s="783" customFormat="1" hidden="1">
      <c r="A196" s="177"/>
      <c r="B196" s="187" t="s">
        <v>56</v>
      </c>
      <c r="C196" s="837" t="s">
        <v>54</v>
      </c>
      <c r="D196" s="31"/>
      <c r="E196" s="31"/>
      <c r="F196" s="31"/>
      <c r="G196" s="31"/>
      <c r="H196" s="134"/>
      <c r="I196" s="134"/>
      <c r="J196" s="134"/>
      <c r="K196" s="134"/>
      <c r="L196" s="242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55"/>
      <c r="Z196" s="242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56"/>
      <c r="AL196" s="242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56"/>
      <c r="AX196" s="31"/>
      <c r="AY196" s="31"/>
      <c r="AZ196" s="109"/>
      <c r="BA196" s="62">
        <v>7.7</v>
      </c>
      <c r="BB196" s="62"/>
      <c r="BC196" s="62"/>
      <c r="BD196" s="62"/>
      <c r="BE196" s="110"/>
      <c r="BF196" s="109"/>
      <c r="BG196" s="62"/>
      <c r="BH196" s="62"/>
      <c r="BI196" s="110"/>
      <c r="BJ196" s="426"/>
      <c r="BK196" s="427"/>
      <c r="BL196" s="560"/>
      <c r="BM196" s="109"/>
      <c r="BN196" s="62"/>
      <c r="BO196" s="470"/>
      <c r="BP196" s="64"/>
      <c r="BQ196" s="61"/>
      <c r="BR196" s="65"/>
      <c r="BS196" s="66"/>
      <c r="BT196" s="64"/>
      <c r="BU196" s="61"/>
      <c r="BV196" s="65"/>
      <c r="BW196" s="66"/>
      <c r="BX196" s="431"/>
      <c r="BY196" s="68"/>
      <c r="BZ196" s="69"/>
      <c r="CA196" s="70"/>
      <c r="CB196" s="71"/>
      <c r="CC196" s="72"/>
      <c r="CD196" s="562"/>
      <c r="CE196" s="561"/>
      <c r="CF196" s="73"/>
      <c r="CG196" s="74"/>
      <c r="CH196" s="74"/>
      <c r="CI196" s="74"/>
      <c r="CJ196" s="74"/>
      <c r="CK196" s="74"/>
      <c r="CL196" s="74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31"/>
      <c r="DB196" s="31"/>
      <c r="DC196" s="31"/>
      <c r="DD196" s="31"/>
      <c r="DE196" s="31"/>
      <c r="DF196" s="108">
        <f t="shared" si="133"/>
        <v>0</v>
      </c>
      <c r="DG196" s="134">
        <f>DF196/2</f>
        <v>0</v>
      </c>
      <c r="DI196" s="826"/>
      <c r="DJ196" s="788"/>
    </row>
    <row r="197" spans="1:114" s="783" customFormat="1" ht="36" hidden="1">
      <c r="A197" s="177"/>
      <c r="B197" s="187" t="s">
        <v>32</v>
      </c>
      <c r="C197" s="837" t="s">
        <v>54</v>
      </c>
      <c r="D197" s="31">
        <v>48</v>
      </c>
      <c r="E197" s="31">
        <v>48</v>
      </c>
      <c r="F197" s="31">
        <v>48</v>
      </c>
      <c r="G197" s="31">
        <v>48</v>
      </c>
      <c r="H197" s="134"/>
      <c r="I197" s="134"/>
      <c r="J197" s="134"/>
      <c r="K197" s="134"/>
      <c r="L197" s="242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55"/>
      <c r="Z197" s="242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56"/>
      <c r="AL197" s="242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56"/>
      <c r="AX197" s="31"/>
      <c r="AY197" s="31">
        <v>68.42</v>
      </c>
      <c r="AZ197" s="109"/>
      <c r="BA197" s="62">
        <v>24.67</v>
      </c>
      <c r="BB197" s="62"/>
      <c r="BC197" s="62">
        <v>16.149999999999999</v>
      </c>
      <c r="BD197" s="62"/>
      <c r="BE197" s="110">
        <v>7.92</v>
      </c>
      <c r="BF197" s="109"/>
      <c r="BG197" s="62"/>
      <c r="BH197" s="62"/>
      <c r="BI197" s="110"/>
      <c r="BJ197" s="426">
        <f>BA197-AZ197</f>
        <v>24.67</v>
      </c>
      <c r="BK197" s="427"/>
      <c r="BL197" s="560"/>
      <c r="BM197" s="109"/>
      <c r="BN197" s="62"/>
      <c r="BO197" s="470"/>
      <c r="BP197" s="64"/>
      <c r="BQ197" s="61"/>
      <c r="BR197" s="65"/>
      <c r="BS197" s="66"/>
      <c r="BT197" s="64"/>
      <c r="BU197" s="61"/>
      <c r="BV197" s="65"/>
      <c r="BW197" s="66"/>
      <c r="BX197" s="431"/>
      <c r="BY197" s="68"/>
      <c r="BZ197" s="69">
        <f>M197+BM197+BQ197+BU197</f>
        <v>0</v>
      </c>
      <c r="CA197" s="70"/>
      <c r="CB197" s="71"/>
      <c r="CC197" s="72">
        <f>BZ197-E197</f>
        <v>-48</v>
      </c>
      <c r="CD197" s="562">
        <v>47.26</v>
      </c>
      <c r="CE197" s="561"/>
      <c r="CF197" s="73"/>
      <c r="CG197" s="74"/>
      <c r="CH197" s="74"/>
      <c r="CI197" s="74"/>
      <c r="CJ197" s="74"/>
      <c r="CK197" s="74"/>
      <c r="CL197" s="74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31">
        <v>48</v>
      </c>
      <c r="DB197" s="31">
        <v>48</v>
      </c>
      <c r="DC197" s="31">
        <v>48</v>
      </c>
      <c r="DD197" s="31">
        <v>57.56</v>
      </c>
      <c r="DE197" s="31">
        <v>48</v>
      </c>
      <c r="DF197" s="108">
        <f t="shared" si="133"/>
        <v>24</v>
      </c>
      <c r="DG197" s="134">
        <v>24</v>
      </c>
      <c r="DI197" s="826"/>
      <c r="DJ197" s="788"/>
    </row>
    <row r="198" spans="1:114" s="783" customFormat="1" hidden="1">
      <c r="A198" s="177"/>
      <c r="B198" s="187" t="s">
        <v>246</v>
      </c>
      <c r="C198" s="837" t="s">
        <v>54</v>
      </c>
      <c r="D198" s="31">
        <v>390</v>
      </c>
      <c r="E198" s="31">
        <v>330</v>
      </c>
      <c r="F198" s="31">
        <v>330</v>
      </c>
      <c r="G198" s="31">
        <v>330</v>
      </c>
      <c r="H198" s="134"/>
      <c r="I198" s="134"/>
      <c r="J198" s="134"/>
      <c r="K198" s="134"/>
      <c r="L198" s="242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55"/>
      <c r="Z198" s="242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56"/>
      <c r="AL198" s="242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56"/>
      <c r="AX198" s="31"/>
      <c r="AY198" s="31"/>
      <c r="AZ198" s="109"/>
      <c r="BA198" s="62"/>
      <c r="BB198" s="62"/>
      <c r="BC198" s="62"/>
      <c r="BD198" s="62"/>
      <c r="BE198" s="110"/>
      <c r="BF198" s="109"/>
      <c r="BG198" s="62"/>
      <c r="BH198" s="62"/>
      <c r="BI198" s="110"/>
      <c r="BJ198" s="426"/>
      <c r="BK198" s="427"/>
      <c r="BL198" s="560"/>
      <c r="BM198" s="109"/>
      <c r="BN198" s="62"/>
      <c r="BO198" s="470"/>
      <c r="BP198" s="64"/>
      <c r="BQ198" s="61"/>
      <c r="BR198" s="65"/>
      <c r="BS198" s="66"/>
      <c r="BT198" s="64"/>
      <c r="BU198" s="61"/>
      <c r="BV198" s="65"/>
      <c r="BW198" s="66"/>
      <c r="BX198" s="431"/>
      <c r="BY198" s="68"/>
      <c r="BZ198" s="69"/>
      <c r="CA198" s="70"/>
      <c r="CB198" s="71"/>
      <c r="CC198" s="72"/>
      <c r="CD198" s="562"/>
      <c r="CE198" s="561"/>
      <c r="CF198" s="73"/>
      <c r="CG198" s="74"/>
      <c r="CH198" s="74"/>
      <c r="CI198" s="74"/>
      <c r="CJ198" s="74"/>
      <c r="CK198" s="74"/>
      <c r="CL198" s="74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31">
        <v>330</v>
      </c>
      <c r="DB198" s="31">
        <v>330</v>
      </c>
      <c r="DC198" s="31">
        <v>330</v>
      </c>
      <c r="DD198" s="31"/>
      <c r="DE198" s="31">
        <v>330</v>
      </c>
      <c r="DF198" s="108">
        <f t="shared" si="133"/>
        <v>165</v>
      </c>
      <c r="DG198" s="134">
        <f t="shared" ref="DG198:DG231" si="134">DF198</f>
        <v>165</v>
      </c>
      <c r="DI198" s="826"/>
      <c r="DJ198" s="788"/>
    </row>
    <row r="199" spans="1:114" s="783" customFormat="1" hidden="1">
      <c r="A199" s="177"/>
      <c r="B199" s="187" t="s">
        <v>9</v>
      </c>
      <c r="C199" s="837" t="s">
        <v>54</v>
      </c>
      <c r="D199" s="31">
        <v>72</v>
      </c>
      <c r="E199" s="31">
        <v>72</v>
      </c>
      <c r="F199" s="31">
        <v>72</v>
      </c>
      <c r="G199" s="31">
        <v>72</v>
      </c>
      <c r="H199" s="134">
        <v>72</v>
      </c>
      <c r="I199" s="134"/>
      <c r="J199" s="134"/>
      <c r="K199" s="134"/>
      <c r="L199" s="134">
        <f>G199/12</f>
        <v>6</v>
      </c>
      <c r="M199" s="134">
        <v>6</v>
      </c>
      <c r="N199" s="134">
        <f>H199/12</f>
        <v>6</v>
      </c>
      <c r="O199" s="134">
        <v>6</v>
      </c>
      <c r="P199" s="134"/>
      <c r="Q199" s="134"/>
      <c r="R199" s="134"/>
      <c r="S199" s="134"/>
      <c r="T199" s="134"/>
      <c r="U199" s="134"/>
      <c r="V199" s="134"/>
      <c r="W199" s="134"/>
      <c r="X199" s="134">
        <f>O199-N199</f>
        <v>0</v>
      </c>
      <c r="Y199" s="155">
        <f>O199/N199</f>
        <v>1</v>
      </c>
      <c r="Z199" s="134">
        <v>6</v>
      </c>
      <c r="AA199" s="134">
        <v>6</v>
      </c>
      <c r="AB199" s="134">
        <v>6</v>
      </c>
      <c r="AC199" s="134"/>
      <c r="AD199" s="134"/>
      <c r="AE199" s="134"/>
      <c r="AF199" s="134"/>
      <c r="AG199" s="134"/>
      <c r="AH199" s="134"/>
      <c r="AI199" s="134"/>
      <c r="AJ199" s="134">
        <f>AC199-AB199</f>
        <v>-6</v>
      </c>
      <c r="AK199" s="156">
        <f>AC199/AB199</f>
        <v>0</v>
      </c>
      <c r="AL199" s="134">
        <v>6</v>
      </c>
      <c r="AM199" s="134">
        <v>6</v>
      </c>
      <c r="AN199" s="134">
        <v>6</v>
      </c>
      <c r="AO199" s="134"/>
      <c r="AP199" s="134"/>
      <c r="AQ199" s="134"/>
      <c r="AR199" s="134"/>
      <c r="AS199" s="134"/>
      <c r="AT199" s="134"/>
      <c r="AU199" s="134"/>
      <c r="AV199" s="134">
        <f>AO199-AN199</f>
        <v>-6</v>
      </c>
      <c r="AW199" s="156">
        <f>AO199/AN199</f>
        <v>0</v>
      </c>
      <c r="AX199" s="31">
        <f>G199/2</f>
        <v>36</v>
      </c>
      <c r="AY199" s="31">
        <v>71.489999999999995</v>
      </c>
      <c r="AZ199" s="109"/>
      <c r="BA199" s="62">
        <v>40.380000000000003</v>
      </c>
      <c r="BB199" s="62"/>
      <c r="BC199" s="62">
        <v>28.23</v>
      </c>
      <c r="BD199" s="62"/>
      <c r="BE199" s="110">
        <v>2.88</v>
      </c>
      <c r="BF199" s="109">
        <v>0.51</v>
      </c>
      <c r="BG199" s="62"/>
      <c r="BH199" s="62"/>
      <c r="BI199" s="110"/>
      <c r="BJ199" s="426">
        <f>BA199-AZ199</f>
        <v>40.380000000000003</v>
      </c>
      <c r="BK199" s="427" t="e">
        <f>BA199/AZ199</f>
        <v>#DIV/0!</v>
      </c>
      <c r="BL199" s="560"/>
      <c r="BM199" s="109">
        <v>6</v>
      </c>
      <c r="BN199" s="62"/>
      <c r="BO199" s="470"/>
      <c r="BP199" s="64"/>
      <c r="BQ199" s="61"/>
      <c r="BR199" s="65"/>
      <c r="BS199" s="66"/>
      <c r="BT199" s="64"/>
      <c r="BU199" s="61"/>
      <c r="BV199" s="65"/>
      <c r="BW199" s="66"/>
      <c r="BX199" s="431"/>
      <c r="BY199" s="68"/>
      <c r="BZ199" s="69">
        <f>M199+BM199+BQ199+BU199</f>
        <v>12</v>
      </c>
      <c r="CA199" s="70"/>
      <c r="CB199" s="71"/>
      <c r="CC199" s="72">
        <f>BZ199-E199</f>
        <v>-60</v>
      </c>
      <c r="CD199" s="562">
        <v>72</v>
      </c>
      <c r="CE199" s="561"/>
      <c r="CF199" s="73"/>
      <c r="CG199" s="74"/>
      <c r="CH199" s="74"/>
      <c r="CI199" s="74"/>
      <c r="CJ199" s="74"/>
      <c r="CK199" s="74"/>
      <c r="CL199" s="74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31">
        <v>72</v>
      </c>
      <c r="DB199" s="31">
        <v>72</v>
      </c>
      <c r="DC199" s="31">
        <v>72</v>
      </c>
      <c r="DD199" s="31">
        <v>72</v>
      </c>
      <c r="DE199" s="31">
        <v>72</v>
      </c>
      <c r="DF199" s="108">
        <f t="shared" si="133"/>
        <v>36</v>
      </c>
      <c r="DG199" s="134">
        <f t="shared" si="134"/>
        <v>36</v>
      </c>
      <c r="DI199" s="826"/>
      <c r="DJ199" s="788"/>
    </row>
    <row r="200" spans="1:114" s="783" customFormat="1" ht="24" hidden="1">
      <c r="A200" s="177"/>
      <c r="B200" s="187" t="s">
        <v>134</v>
      </c>
      <c r="C200" s="837" t="s">
        <v>54</v>
      </c>
      <c r="D200" s="31">
        <v>14.5</v>
      </c>
      <c r="E200" s="31">
        <v>14.54</v>
      </c>
      <c r="F200" s="31">
        <v>14.54</v>
      </c>
      <c r="G200" s="31">
        <v>14.54</v>
      </c>
      <c r="H200" s="134"/>
      <c r="I200" s="134"/>
      <c r="J200" s="134"/>
      <c r="K200" s="134"/>
      <c r="L200" s="242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55"/>
      <c r="Z200" s="242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56"/>
      <c r="AL200" s="242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56"/>
      <c r="AX200" s="31"/>
      <c r="AY200" s="31"/>
      <c r="AZ200" s="109"/>
      <c r="BA200" s="62">
        <v>7.45</v>
      </c>
      <c r="BB200" s="62"/>
      <c r="BC200" s="62">
        <v>6.22</v>
      </c>
      <c r="BD200" s="62"/>
      <c r="BE200" s="110">
        <v>0.87</v>
      </c>
      <c r="BF200" s="109"/>
      <c r="BG200" s="62"/>
      <c r="BH200" s="62"/>
      <c r="BI200" s="110"/>
      <c r="BJ200" s="426"/>
      <c r="BK200" s="427"/>
      <c r="BL200" s="560"/>
      <c r="BM200" s="109"/>
      <c r="BN200" s="62"/>
      <c r="BO200" s="470"/>
      <c r="BP200" s="64"/>
      <c r="BQ200" s="61"/>
      <c r="BR200" s="65"/>
      <c r="BS200" s="66"/>
      <c r="BT200" s="64"/>
      <c r="BU200" s="61"/>
      <c r="BV200" s="65"/>
      <c r="BW200" s="66"/>
      <c r="BX200" s="431"/>
      <c r="BY200" s="68"/>
      <c r="BZ200" s="69"/>
      <c r="CA200" s="70"/>
      <c r="CB200" s="71"/>
      <c r="CC200" s="72"/>
      <c r="CD200" s="562"/>
      <c r="CE200" s="561"/>
      <c r="CF200" s="73"/>
      <c r="CG200" s="74"/>
      <c r="CH200" s="74"/>
      <c r="CI200" s="74"/>
      <c r="CJ200" s="74"/>
      <c r="CK200" s="74"/>
      <c r="CL200" s="74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31">
        <v>14.54</v>
      </c>
      <c r="DB200" s="31">
        <v>14.54</v>
      </c>
      <c r="DC200" s="31">
        <v>14.54</v>
      </c>
      <c r="DD200" s="31">
        <v>10.71</v>
      </c>
      <c r="DE200" s="31">
        <v>14.54</v>
      </c>
      <c r="DF200" s="108">
        <f t="shared" si="133"/>
        <v>7.27</v>
      </c>
      <c r="DG200" s="134">
        <f t="shared" si="134"/>
        <v>7.27</v>
      </c>
      <c r="DI200" s="826"/>
      <c r="DJ200" s="788"/>
    </row>
    <row r="201" spans="1:114" s="783" customFormat="1" ht="24" hidden="1">
      <c r="A201" s="177"/>
      <c r="B201" s="187" t="s">
        <v>201</v>
      </c>
      <c r="C201" s="837" t="s">
        <v>54</v>
      </c>
      <c r="D201" s="31"/>
      <c r="E201" s="31">
        <v>4</v>
      </c>
      <c r="F201" s="31">
        <v>4</v>
      </c>
      <c r="G201" s="31">
        <v>4</v>
      </c>
      <c r="H201" s="134"/>
      <c r="I201" s="134"/>
      <c r="J201" s="134"/>
      <c r="K201" s="134"/>
      <c r="L201" s="242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55"/>
      <c r="Z201" s="242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56"/>
      <c r="AL201" s="242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56"/>
      <c r="AX201" s="31"/>
      <c r="AY201" s="31">
        <v>6.5</v>
      </c>
      <c r="AZ201" s="109"/>
      <c r="BA201" s="62">
        <v>3.8</v>
      </c>
      <c r="BB201" s="62"/>
      <c r="BC201" s="62"/>
      <c r="BD201" s="62"/>
      <c r="BE201" s="110"/>
      <c r="BF201" s="109"/>
      <c r="BG201" s="62"/>
      <c r="BH201" s="62"/>
      <c r="BI201" s="110"/>
      <c r="BJ201" s="426"/>
      <c r="BK201" s="427"/>
      <c r="BL201" s="560"/>
      <c r="BM201" s="109"/>
      <c r="BN201" s="62"/>
      <c r="BO201" s="470"/>
      <c r="BP201" s="64"/>
      <c r="BQ201" s="61"/>
      <c r="BR201" s="65"/>
      <c r="BS201" s="66"/>
      <c r="BT201" s="64"/>
      <c r="BU201" s="61"/>
      <c r="BV201" s="65"/>
      <c r="BW201" s="66"/>
      <c r="BX201" s="431"/>
      <c r="BY201" s="68"/>
      <c r="BZ201" s="69"/>
      <c r="CA201" s="70"/>
      <c r="CB201" s="71"/>
      <c r="CC201" s="72"/>
      <c r="CD201" s="562"/>
      <c r="CE201" s="561"/>
      <c r="CF201" s="73"/>
      <c r="CG201" s="74"/>
      <c r="CH201" s="74"/>
      <c r="CI201" s="74"/>
      <c r="CJ201" s="74"/>
      <c r="CK201" s="74"/>
      <c r="CL201" s="74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31">
        <v>4</v>
      </c>
      <c r="DB201" s="31">
        <v>4</v>
      </c>
      <c r="DC201" s="31">
        <v>4</v>
      </c>
      <c r="DD201" s="31"/>
      <c r="DE201" s="31">
        <v>4</v>
      </c>
      <c r="DF201" s="108">
        <f t="shared" si="133"/>
        <v>2</v>
      </c>
      <c r="DG201" s="134">
        <f t="shared" si="134"/>
        <v>2</v>
      </c>
      <c r="DI201" s="826"/>
      <c r="DJ201" s="788"/>
    </row>
    <row r="202" spans="1:114" s="783" customFormat="1" hidden="1">
      <c r="A202" s="177"/>
      <c r="B202" s="187" t="s">
        <v>67</v>
      </c>
      <c r="C202" s="837" t="s">
        <v>54</v>
      </c>
      <c r="D202" s="31">
        <v>8</v>
      </c>
      <c r="E202" s="31">
        <v>8</v>
      </c>
      <c r="F202" s="31">
        <v>8</v>
      </c>
      <c r="G202" s="31">
        <v>8</v>
      </c>
      <c r="H202" s="134">
        <v>3</v>
      </c>
      <c r="I202" s="134"/>
      <c r="J202" s="134"/>
      <c r="K202" s="134"/>
      <c r="L202" s="134">
        <f>G202/12</f>
        <v>0.66666666666666663</v>
      </c>
      <c r="M202" s="134">
        <v>5.3</v>
      </c>
      <c r="N202" s="134">
        <f>H202/12</f>
        <v>0.25</v>
      </c>
      <c r="O202" s="134">
        <v>5.3</v>
      </c>
      <c r="P202" s="134"/>
      <c r="Q202" s="134"/>
      <c r="R202" s="134"/>
      <c r="S202" s="134"/>
      <c r="T202" s="134"/>
      <c r="U202" s="134"/>
      <c r="V202" s="134"/>
      <c r="W202" s="134"/>
      <c r="X202" s="134">
        <f>O202-N202</f>
        <v>5.05</v>
      </c>
      <c r="Y202" s="155">
        <f>O202/N202</f>
        <v>21.2</v>
      </c>
      <c r="Z202" s="134">
        <v>0.25</v>
      </c>
      <c r="AA202" s="134"/>
      <c r="AB202" s="134">
        <v>0.25</v>
      </c>
      <c r="AC202" s="134"/>
      <c r="AD202" s="134"/>
      <c r="AE202" s="134"/>
      <c r="AF202" s="134"/>
      <c r="AG202" s="134"/>
      <c r="AH202" s="134"/>
      <c r="AI202" s="134"/>
      <c r="AJ202" s="134">
        <f>AC202-AB202</f>
        <v>-0.25</v>
      </c>
      <c r="AK202" s="156">
        <f>AC202/AB202</f>
        <v>0</v>
      </c>
      <c r="AL202" s="134">
        <v>0.25</v>
      </c>
      <c r="AM202" s="134"/>
      <c r="AN202" s="134">
        <v>0.25</v>
      </c>
      <c r="AO202" s="134"/>
      <c r="AP202" s="134"/>
      <c r="AQ202" s="134"/>
      <c r="AR202" s="134"/>
      <c r="AS202" s="134"/>
      <c r="AT202" s="134"/>
      <c r="AU202" s="134"/>
      <c r="AV202" s="134">
        <f>AO202-AN202</f>
        <v>-0.25</v>
      </c>
      <c r="AW202" s="156">
        <f>AO202/AN202</f>
        <v>0</v>
      </c>
      <c r="AX202" s="31">
        <f>G202/2</f>
        <v>4</v>
      </c>
      <c r="AY202" s="31"/>
      <c r="AZ202" s="109"/>
      <c r="BA202" s="62"/>
      <c r="BB202" s="62"/>
      <c r="BC202" s="62"/>
      <c r="BD202" s="62"/>
      <c r="BE202" s="110"/>
      <c r="BF202" s="109"/>
      <c r="BG202" s="62"/>
      <c r="BH202" s="62"/>
      <c r="BI202" s="110"/>
      <c r="BJ202" s="426">
        <f>BA202-AZ202</f>
        <v>0</v>
      </c>
      <c r="BK202" s="427" t="e">
        <f>BA202/AZ202</f>
        <v>#DIV/0!</v>
      </c>
      <c r="BL202" s="560"/>
      <c r="BM202" s="109"/>
      <c r="BN202" s="62"/>
      <c r="BO202" s="470"/>
      <c r="BP202" s="64"/>
      <c r="BQ202" s="61"/>
      <c r="BR202" s="65"/>
      <c r="BS202" s="66"/>
      <c r="BT202" s="64"/>
      <c r="BU202" s="61"/>
      <c r="BV202" s="65"/>
      <c r="BW202" s="66"/>
      <c r="BX202" s="431"/>
      <c r="BY202" s="68"/>
      <c r="BZ202" s="69">
        <f>M202+BM202+BQ202+BU202</f>
        <v>5.3</v>
      </c>
      <c r="CA202" s="70"/>
      <c r="CB202" s="71"/>
      <c r="CC202" s="72">
        <f>BZ202-E202</f>
        <v>-2.7</v>
      </c>
      <c r="CD202" s="562">
        <v>7.5</v>
      </c>
      <c r="CE202" s="561"/>
      <c r="CF202" s="73"/>
      <c r="CG202" s="74"/>
      <c r="CH202" s="74"/>
      <c r="CI202" s="74"/>
      <c r="CJ202" s="74"/>
      <c r="CK202" s="74"/>
      <c r="CL202" s="74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31">
        <v>8</v>
      </c>
      <c r="DB202" s="31">
        <v>8</v>
      </c>
      <c r="DC202" s="31">
        <v>8</v>
      </c>
      <c r="DD202" s="31">
        <v>6.4</v>
      </c>
      <c r="DE202" s="31">
        <v>8</v>
      </c>
      <c r="DF202" s="108">
        <f t="shared" si="133"/>
        <v>4</v>
      </c>
      <c r="DG202" s="134">
        <f t="shared" si="134"/>
        <v>4</v>
      </c>
      <c r="DI202" s="826"/>
      <c r="DJ202" s="788"/>
    </row>
    <row r="203" spans="1:114" s="783" customFormat="1" hidden="1">
      <c r="A203" s="177"/>
      <c r="B203" s="187" t="s">
        <v>314</v>
      </c>
      <c r="C203" s="837" t="s">
        <v>54</v>
      </c>
      <c r="D203" s="31"/>
      <c r="E203" s="31"/>
      <c r="F203" s="31"/>
      <c r="G203" s="31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55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56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56"/>
      <c r="AX203" s="31"/>
      <c r="AY203" s="31">
        <v>0.82</v>
      </c>
      <c r="AZ203" s="109"/>
      <c r="BA203" s="62"/>
      <c r="BB203" s="62"/>
      <c r="BC203" s="62"/>
      <c r="BD203" s="62"/>
      <c r="BE203" s="110"/>
      <c r="BF203" s="109"/>
      <c r="BG203" s="62"/>
      <c r="BH203" s="62"/>
      <c r="BI203" s="110"/>
      <c r="BJ203" s="426"/>
      <c r="BK203" s="427"/>
      <c r="BL203" s="560"/>
      <c r="BM203" s="109"/>
      <c r="BN203" s="62"/>
      <c r="BO203" s="470"/>
      <c r="BP203" s="64"/>
      <c r="BQ203" s="61"/>
      <c r="BR203" s="65"/>
      <c r="BS203" s="66"/>
      <c r="BT203" s="64"/>
      <c r="BU203" s="61"/>
      <c r="BV203" s="65"/>
      <c r="BW203" s="66"/>
      <c r="BX203" s="431"/>
      <c r="BY203" s="68"/>
      <c r="BZ203" s="69"/>
      <c r="CA203" s="70"/>
      <c r="CB203" s="71"/>
      <c r="CC203" s="72"/>
      <c r="CD203" s="562"/>
      <c r="CE203" s="561"/>
      <c r="CF203" s="73"/>
      <c r="CG203" s="74"/>
      <c r="CH203" s="74"/>
      <c r="CI203" s="74"/>
      <c r="CJ203" s="74"/>
      <c r="CK203" s="74"/>
      <c r="CL203" s="74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31"/>
      <c r="DB203" s="31"/>
      <c r="DC203" s="31"/>
      <c r="DD203" s="31"/>
      <c r="DE203" s="31"/>
      <c r="DF203" s="108">
        <f t="shared" si="133"/>
        <v>0</v>
      </c>
      <c r="DG203" s="134">
        <f t="shared" si="134"/>
        <v>0</v>
      </c>
      <c r="DI203" s="826"/>
      <c r="DJ203" s="788"/>
    </row>
    <row r="204" spans="1:114" s="783" customFormat="1" hidden="1">
      <c r="A204" s="177"/>
      <c r="B204" s="187" t="s">
        <v>315</v>
      </c>
      <c r="C204" s="837" t="s">
        <v>54</v>
      </c>
      <c r="D204" s="31"/>
      <c r="E204" s="31"/>
      <c r="F204" s="31"/>
      <c r="G204" s="31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55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56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56"/>
      <c r="AX204" s="31"/>
      <c r="AY204" s="31">
        <v>9.9600000000000009</v>
      </c>
      <c r="AZ204" s="109"/>
      <c r="BA204" s="62"/>
      <c r="BB204" s="62"/>
      <c r="BC204" s="62"/>
      <c r="BD204" s="62"/>
      <c r="BE204" s="110"/>
      <c r="BF204" s="109"/>
      <c r="BG204" s="62"/>
      <c r="BH204" s="62"/>
      <c r="BI204" s="110"/>
      <c r="BJ204" s="426"/>
      <c r="BK204" s="427"/>
      <c r="BL204" s="560"/>
      <c r="BM204" s="109"/>
      <c r="BN204" s="62"/>
      <c r="BO204" s="470"/>
      <c r="BP204" s="64"/>
      <c r="BQ204" s="61"/>
      <c r="BR204" s="65"/>
      <c r="BS204" s="66"/>
      <c r="BT204" s="64"/>
      <c r="BU204" s="61"/>
      <c r="BV204" s="65"/>
      <c r="BW204" s="66"/>
      <c r="BX204" s="431"/>
      <c r="BY204" s="68"/>
      <c r="BZ204" s="69"/>
      <c r="CA204" s="70"/>
      <c r="CB204" s="71"/>
      <c r="CC204" s="72"/>
      <c r="CD204" s="562"/>
      <c r="CE204" s="561"/>
      <c r="CF204" s="73"/>
      <c r="CG204" s="74"/>
      <c r="CH204" s="74"/>
      <c r="CI204" s="74"/>
      <c r="CJ204" s="74"/>
      <c r="CK204" s="74"/>
      <c r="CL204" s="74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31"/>
      <c r="DB204" s="31"/>
      <c r="DC204" s="31"/>
      <c r="DD204" s="31"/>
      <c r="DE204" s="31"/>
      <c r="DF204" s="108">
        <f t="shared" si="133"/>
        <v>0</v>
      </c>
      <c r="DG204" s="134">
        <f t="shared" si="134"/>
        <v>0</v>
      </c>
      <c r="DI204" s="826"/>
      <c r="DJ204" s="788"/>
    </row>
    <row r="205" spans="1:114" s="783" customFormat="1" hidden="1">
      <c r="A205" s="177"/>
      <c r="B205" s="187" t="s">
        <v>281</v>
      </c>
      <c r="C205" s="837" t="s">
        <v>54</v>
      </c>
      <c r="D205" s="31">
        <v>25</v>
      </c>
      <c r="E205" s="31">
        <v>25</v>
      </c>
      <c r="F205" s="31">
        <v>25</v>
      </c>
      <c r="G205" s="31">
        <v>25</v>
      </c>
      <c r="H205" s="134"/>
      <c r="I205" s="134"/>
      <c r="J205" s="134"/>
      <c r="K205" s="134"/>
      <c r="L205" s="242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55"/>
      <c r="Z205" s="242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56"/>
      <c r="AL205" s="242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56"/>
      <c r="AX205" s="31"/>
      <c r="AY205" s="31">
        <v>18.7</v>
      </c>
      <c r="AZ205" s="109"/>
      <c r="BA205" s="62">
        <v>12.5</v>
      </c>
      <c r="BB205" s="62"/>
      <c r="BC205" s="62">
        <v>12.5</v>
      </c>
      <c r="BD205" s="62"/>
      <c r="BE205" s="110">
        <v>14</v>
      </c>
      <c r="BF205" s="109"/>
      <c r="BG205" s="62"/>
      <c r="BH205" s="62"/>
      <c r="BI205" s="110"/>
      <c r="BJ205" s="426">
        <f>BA205-AZ205</f>
        <v>12.5</v>
      </c>
      <c r="BK205" s="427"/>
      <c r="BL205" s="560"/>
      <c r="BM205" s="109"/>
      <c r="BN205" s="62"/>
      <c r="BO205" s="470"/>
      <c r="BP205" s="64"/>
      <c r="BQ205" s="61"/>
      <c r="BR205" s="65"/>
      <c r="BS205" s="66"/>
      <c r="BT205" s="64"/>
      <c r="BU205" s="61"/>
      <c r="BV205" s="65"/>
      <c r="BW205" s="66"/>
      <c r="BX205" s="431"/>
      <c r="BY205" s="68"/>
      <c r="BZ205" s="69">
        <f>M205+BM205+BQ205+BU205</f>
        <v>0</v>
      </c>
      <c r="CA205" s="70"/>
      <c r="CB205" s="71"/>
      <c r="CC205" s="72">
        <f>BZ205-E205</f>
        <v>-25</v>
      </c>
      <c r="CD205" s="562">
        <v>8.6</v>
      </c>
      <c r="CE205" s="561"/>
      <c r="CF205" s="73"/>
      <c r="CG205" s="74"/>
      <c r="CH205" s="74"/>
      <c r="CI205" s="74"/>
      <c r="CJ205" s="74"/>
      <c r="CK205" s="74"/>
      <c r="CL205" s="74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31">
        <v>25</v>
      </c>
      <c r="DB205" s="31">
        <v>25</v>
      </c>
      <c r="DC205" s="31">
        <v>25</v>
      </c>
      <c r="DD205" s="31">
        <v>44.58</v>
      </c>
      <c r="DE205" s="31">
        <v>25</v>
      </c>
      <c r="DF205" s="108">
        <f t="shared" si="133"/>
        <v>12.5</v>
      </c>
      <c r="DG205" s="134">
        <f t="shared" si="134"/>
        <v>12.5</v>
      </c>
      <c r="DI205" s="826"/>
      <c r="DJ205" s="788"/>
    </row>
    <row r="206" spans="1:114" s="783" customFormat="1" ht="24" hidden="1">
      <c r="A206" s="177"/>
      <c r="B206" s="187" t="s">
        <v>97</v>
      </c>
      <c r="C206" s="837" t="s">
        <v>54</v>
      </c>
      <c r="D206" s="31"/>
      <c r="E206" s="31"/>
      <c r="F206" s="31"/>
      <c r="G206" s="31"/>
      <c r="H206" s="134"/>
      <c r="I206" s="134"/>
      <c r="J206" s="134"/>
      <c r="K206" s="134"/>
      <c r="L206" s="242"/>
      <c r="M206" s="245">
        <v>25</v>
      </c>
      <c r="N206" s="245"/>
      <c r="O206" s="245"/>
      <c r="P206" s="245"/>
      <c r="Q206" s="245"/>
      <c r="R206" s="245"/>
      <c r="S206" s="245"/>
      <c r="T206" s="245"/>
      <c r="U206" s="245">
        <v>25</v>
      </c>
      <c r="V206" s="245"/>
      <c r="W206" s="245"/>
      <c r="X206" s="134"/>
      <c r="Y206" s="155"/>
      <c r="Z206" s="242"/>
      <c r="AA206" s="245"/>
      <c r="AB206" s="245"/>
      <c r="AC206" s="245"/>
      <c r="AD206" s="245"/>
      <c r="AE206" s="245"/>
      <c r="AF206" s="245"/>
      <c r="AG206" s="245"/>
      <c r="AH206" s="245"/>
      <c r="AI206" s="245"/>
      <c r="AJ206" s="134"/>
      <c r="AK206" s="156"/>
      <c r="AL206" s="242"/>
      <c r="AM206" s="245"/>
      <c r="AN206" s="245"/>
      <c r="AO206" s="245"/>
      <c r="AP206" s="245"/>
      <c r="AQ206" s="245"/>
      <c r="AR206" s="245"/>
      <c r="AS206" s="245"/>
      <c r="AT206" s="245"/>
      <c r="AU206" s="245"/>
      <c r="AV206" s="134"/>
      <c r="AW206" s="156"/>
      <c r="AX206" s="31"/>
      <c r="AY206" s="31"/>
      <c r="AZ206" s="109"/>
      <c r="BA206" s="62"/>
      <c r="BB206" s="7"/>
      <c r="BC206" s="62"/>
      <c r="BD206" s="62"/>
      <c r="BE206" s="110"/>
      <c r="BF206" s="109"/>
      <c r="BG206" s="62">
        <v>25</v>
      </c>
      <c r="BH206" s="7"/>
      <c r="BI206" s="8"/>
      <c r="BJ206" s="426">
        <f>BA206-AZ206</f>
        <v>0</v>
      </c>
      <c r="BK206" s="427"/>
      <c r="BL206" s="560"/>
      <c r="BM206" s="109"/>
      <c r="BN206" s="62"/>
      <c r="BO206" s="470"/>
      <c r="BP206" s="64"/>
      <c r="BQ206" s="61"/>
      <c r="BR206" s="65"/>
      <c r="BS206" s="66"/>
      <c r="BT206" s="64"/>
      <c r="BU206" s="61"/>
      <c r="BV206" s="65"/>
      <c r="BW206" s="66"/>
      <c r="BX206" s="431"/>
      <c r="BY206" s="68"/>
      <c r="BZ206" s="69"/>
      <c r="CA206" s="70"/>
      <c r="CB206" s="71"/>
      <c r="CC206" s="72"/>
      <c r="CD206" s="562"/>
      <c r="CE206" s="561"/>
      <c r="CF206" s="73"/>
      <c r="CG206" s="74"/>
      <c r="CH206" s="74"/>
      <c r="CI206" s="74"/>
      <c r="CJ206" s="74"/>
      <c r="CK206" s="74"/>
      <c r="CL206" s="74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31"/>
      <c r="DB206" s="31"/>
      <c r="DC206" s="31"/>
      <c r="DD206" s="31"/>
      <c r="DE206" s="31"/>
      <c r="DF206" s="108">
        <f t="shared" si="133"/>
        <v>0</v>
      </c>
      <c r="DG206" s="134">
        <f t="shared" si="134"/>
        <v>0</v>
      </c>
      <c r="DI206" s="826"/>
      <c r="DJ206" s="788"/>
    </row>
    <row r="207" spans="1:114" s="783" customFormat="1" hidden="1">
      <c r="A207" s="177"/>
      <c r="B207" s="187" t="s">
        <v>104</v>
      </c>
      <c r="C207" s="837" t="s">
        <v>54</v>
      </c>
      <c r="D207" s="31">
        <v>79.760000000000005</v>
      </c>
      <c r="E207" s="31"/>
      <c r="F207" s="31"/>
      <c r="G207" s="31"/>
      <c r="H207" s="134">
        <v>36.15</v>
      </c>
      <c r="I207" s="134"/>
      <c r="J207" s="134"/>
      <c r="K207" s="134"/>
      <c r="L207" s="134">
        <f>G207/12</f>
        <v>0</v>
      </c>
      <c r="M207" s="245"/>
      <c r="N207" s="134">
        <f>H207/12</f>
        <v>3.0124999999999997</v>
      </c>
      <c r="O207" s="245"/>
      <c r="P207" s="245"/>
      <c r="Q207" s="245"/>
      <c r="R207" s="245"/>
      <c r="S207" s="245"/>
      <c r="T207" s="245"/>
      <c r="U207" s="245"/>
      <c r="V207" s="245"/>
      <c r="W207" s="245"/>
      <c r="X207" s="134">
        <f>O207-N207</f>
        <v>-3.0124999999999997</v>
      </c>
      <c r="Y207" s="155">
        <f>O207/N207</f>
        <v>0</v>
      </c>
      <c r="Z207" s="134">
        <v>3.01</v>
      </c>
      <c r="AA207" s="245"/>
      <c r="AB207" s="134">
        <v>3.01</v>
      </c>
      <c r="AC207" s="245"/>
      <c r="AD207" s="245"/>
      <c r="AE207" s="245"/>
      <c r="AF207" s="245"/>
      <c r="AG207" s="245"/>
      <c r="AH207" s="245"/>
      <c r="AI207" s="245"/>
      <c r="AJ207" s="134">
        <f>AC207-AB207</f>
        <v>-3.01</v>
      </c>
      <c r="AK207" s="156">
        <f>AC207/AB207</f>
        <v>0</v>
      </c>
      <c r="AL207" s="134">
        <v>3.01</v>
      </c>
      <c r="AM207" s="245"/>
      <c r="AN207" s="134">
        <v>3.01</v>
      </c>
      <c r="AO207" s="245"/>
      <c r="AP207" s="245"/>
      <c r="AQ207" s="245"/>
      <c r="AR207" s="245"/>
      <c r="AS207" s="245"/>
      <c r="AT207" s="245"/>
      <c r="AU207" s="245"/>
      <c r="AV207" s="134">
        <f>AO207-AN207</f>
        <v>-3.01</v>
      </c>
      <c r="AW207" s="156">
        <f>AO207/AN207</f>
        <v>0</v>
      </c>
      <c r="AX207" s="31">
        <f>G207/2</f>
        <v>0</v>
      </c>
      <c r="AY207" s="31"/>
      <c r="AZ207" s="109"/>
      <c r="BA207" s="62"/>
      <c r="BB207" s="7"/>
      <c r="BC207" s="62"/>
      <c r="BD207" s="62"/>
      <c r="BE207" s="110"/>
      <c r="BF207" s="109"/>
      <c r="BG207" s="62"/>
      <c r="BH207" s="7"/>
      <c r="BI207" s="8"/>
      <c r="BJ207" s="426">
        <f>BA207-AZ207</f>
        <v>0</v>
      </c>
      <c r="BK207" s="427" t="e">
        <f>BA207/AZ207</f>
        <v>#DIV/0!</v>
      </c>
      <c r="BL207" s="560"/>
      <c r="BM207" s="109"/>
      <c r="BN207" s="62"/>
      <c r="BO207" s="470"/>
      <c r="BP207" s="64"/>
      <c r="BQ207" s="61"/>
      <c r="BR207" s="65"/>
      <c r="BS207" s="66"/>
      <c r="BT207" s="64"/>
      <c r="BU207" s="61"/>
      <c r="BV207" s="65"/>
      <c r="BW207" s="66"/>
      <c r="BX207" s="431"/>
      <c r="BY207" s="68"/>
      <c r="BZ207" s="69"/>
      <c r="CA207" s="70"/>
      <c r="CB207" s="71"/>
      <c r="CC207" s="72"/>
      <c r="CD207" s="562"/>
      <c r="CE207" s="561"/>
      <c r="CF207" s="73"/>
      <c r="CG207" s="74"/>
      <c r="CH207" s="74"/>
      <c r="CI207" s="74"/>
      <c r="CJ207" s="74"/>
      <c r="CK207" s="74"/>
      <c r="CL207" s="74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31"/>
      <c r="DB207" s="31"/>
      <c r="DC207" s="31"/>
      <c r="DD207" s="31"/>
      <c r="DE207" s="31"/>
      <c r="DF207" s="108">
        <f t="shared" si="133"/>
        <v>0</v>
      </c>
      <c r="DG207" s="134">
        <f t="shared" si="134"/>
        <v>0</v>
      </c>
      <c r="DI207" s="826"/>
      <c r="DJ207" s="788"/>
    </row>
    <row r="208" spans="1:114" s="783" customFormat="1" hidden="1">
      <c r="A208" s="177"/>
      <c r="B208" s="187" t="s">
        <v>183</v>
      </c>
      <c r="C208" s="837" t="s">
        <v>54</v>
      </c>
      <c r="D208" s="31">
        <v>192</v>
      </c>
      <c r="E208" s="31">
        <v>204</v>
      </c>
      <c r="F208" s="31"/>
      <c r="G208" s="31"/>
      <c r="H208" s="134"/>
      <c r="I208" s="134"/>
      <c r="J208" s="134"/>
      <c r="K208" s="134"/>
      <c r="L208" s="134"/>
      <c r="M208" s="245"/>
      <c r="N208" s="134"/>
      <c r="O208" s="245"/>
      <c r="P208" s="245"/>
      <c r="Q208" s="245"/>
      <c r="R208" s="245"/>
      <c r="S208" s="245"/>
      <c r="T208" s="245"/>
      <c r="U208" s="245"/>
      <c r="V208" s="245"/>
      <c r="W208" s="245"/>
      <c r="X208" s="134"/>
      <c r="Y208" s="155"/>
      <c r="Z208" s="134"/>
      <c r="AA208" s="245"/>
      <c r="AB208" s="134"/>
      <c r="AC208" s="245"/>
      <c r="AD208" s="245"/>
      <c r="AE208" s="245"/>
      <c r="AF208" s="245"/>
      <c r="AG208" s="245"/>
      <c r="AH208" s="245"/>
      <c r="AI208" s="245"/>
      <c r="AJ208" s="134"/>
      <c r="AK208" s="156"/>
      <c r="AL208" s="134"/>
      <c r="AM208" s="245"/>
      <c r="AN208" s="134"/>
      <c r="AO208" s="245"/>
      <c r="AP208" s="245"/>
      <c r="AQ208" s="245"/>
      <c r="AR208" s="245"/>
      <c r="AS208" s="245"/>
      <c r="AT208" s="245"/>
      <c r="AU208" s="245"/>
      <c r="AV208" s="134"/>
      <c r="AW208" s="156"/>
      <c r="AX208" s="31"/>
      <c r="AY208" s="31"/>
      <c r="AZ208" s="109"/>
      <c r="BA208" s="62">
        <v>31.11</v>
      </c>
      <c r="BB208" s="7"/>
      <c r="BC208" s="62">
        <v>13.13</v>
      </c>
      <c r="BD208" s="62"/>
      <c r="BE208" s="110">
        <v>2.86</v>
      </c>
      <c r="BF208" s="109"/>
      <c r="BG208" s="62"/>
      <c r="BH208" s="7"/>
      <c r="BI208" s="8"/>
      <c r="BJ208" s="426"/>
      <c r="BK208" s="427"/>
      <c r="BL208" s="560"/>
      <c r="BM208" s="109"/>
      <c r="BN208" s="62"/>
      <c r="BO208" s="470"/>
      <c r="BP208" s="64"/>
      <c r="BQ208" s="61"/>
      <c r="BR208" s="65"/>
      <c r="BS208" s="66"/>
      <c r="BT208" s="64"/>
      <c r="BU208" s="61"/>
      <c r="BV208" s="65"/>
      <c r="BW208" s="66"/>
      <c r="BX208" s="431"/>
      <c r="BY208" s="68"/>
      <c r="BZ208" s="69"/>
      <c r="CA208" s="70"/>
      <c r="CB208" s="71"/>
      <c r="CC208" s="72"/>
      <c r="CD208" s="562"/>
      <c r="CE208" s="561"/>
      <c r="CF208" s="73"/>
      <c r="CG208" s="74"/>
      <c r="CH208" s="74"/>
      <c r="CI208" s="74"/>
      <c r="CJ208" s="74"/>
      <c r="CK208" s="74"/>
      <c r="CL208" s="74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31">
        <v>204</v>
      </c>
      <c r="DB208" s="31"/>
      <c r="DC208" s="31"/>
      <c r="DD208" s="31"/>
      <c r="DE208" s="31"/>
      <c r="DF208" s="108">
        <f t="shared" si="133"/>
        <v>0</v>
      </c>
      <c r="DG208" s="134">
        <f t="shared" si="134"/>
        <v>0</v>
      </c>
      <c r="DI208" s="826"/>
      <c r="DJ208" s="788"/>
    </row>
    <row r="209" spans="1:114" s="783" customFormat="1" hidden="1">
      <c r="A209" s="177"/>
      <c r="B209" s="187" t="s">
        <v>66</v>
      </c>
      <c r="C209" s="837" t="s">
        <v>54</v>
      </c>
      <c r="D209" s="31"/>
      <c r="E209" s="31"/>
      <c r="F209" s="31"/>
      <c r="G209" s="31"/>
      <c r="H209" s="134"/>
      <c r="I209" s="134"/>
      <c r="J209" s="134"/>
      <c r="K209" s="134"/>
      <c r="L209" s="242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134"/>
      <c r="Y209" s="155"/>
      <c r="Z209" s="242"/>
      <c r="AA209" s="245"/>
      <c r="AB209" s="245"/>
      <c r="AC209" s="245"/>
      <c r="AD209" s="245"/>
      <c r="AE209" s="245"/>
      <c r="AF209" s="245"/>
      <c r="AG209" s="245"/>
      <c r="AH209" s="245"/>
      <c r="AI209" s="245"/>
      <c r="AJ209" s="134"/>
      <c r="AK209" s="156"/>
      <c r="AL209" s="242"/>
      <c r="AM209" s="245"/>
      <c r="AN209" s="245"/>
      <c r="AO209" s="245"/>
      <c r="AP209" s="245"/>
      <c r="AQ209" s="245"/>
      <c r="AR209" s="245"/>
      <c r="AS209" s="245"/>
      <c r="AT209" s="245"/>
      <c r="AU209" s="245"/>
      <c r="AV209" s="134"/>
      <c r="AW209" s="156"/>
      <c r="AX209" s="31"/>
      <c r="AY209" s="31"/>
      <c r="AZ209" s="109"/>
      <c r="BA209" s="62"/>
      <c r="BB209" s="7"/>
      <c r="BC209" s="62"/>
      <c r="BD209" s="62"/>
      <c r="BE209" s="110"/>
      <c r="BF209" s="109"/>
      <c r="BG209" s="62"/>
      <c r="BH209" s="7"/>
      <c r="BI209" s="8"/>
      <c r="BJ209" s="426"/>
      <c r="BK209" s="427"/>
      <c r="BL209" s="560"/>
      <c r="BM209" s="109"/>
      <c r="BN209" s="62"/>
      <c r="BO209" s="470"/>
      <c r="BP209" s="64"/>
      <c r="BQ209" s="61"/>
      <c r="BR209" s="65"/>
      <c r="BS209" s="66"/>
      <c r="BT209" s="64"/>
      <c r="BU209" s="61"/>
      <c r="BV209" s="65"/>
      <c r="BW209" s="66"/>
      <c r="BX209" s="431"/>
      <c r="BY209" s="68"/>
      <c r="BZ209" s="69"/>
      <c r="CA209" s="70"/>
      <c r="CB209" s="71"/>
      <c r="CC209" s="72"/>
      <c r="CD209" s="562"/>
      <c r="CE209" s="561"/>
      <c r="CF209" s="73"/>
      <c r="CG209" s="74"/>
      <c r="CH209" s="74"/>
      <c r="CI209" s="74"/>
      <c r="CJ209" s="74"/>
      <c r="CK209" s="74"/>
      <c r="CL209" s="74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31"/>
      <c r="DB209" s="31"/>
      <c r="DC209" s="31"/>
      <c r="DD209" s="31"/>
      <c r="DE209" s="31"/>
      <c r="DF209" s="108">
        <f t="shared" si="133"/>
        <v>0</v>
      </c>
      <c r="DG209" s="134">
        <f t="shared" si="134"/>
        <v>0</v>
      </c>
      <c r="DI209" s="826"/>
      <c r="DJ209" s="788"/>
    </row>
    <row r="210" spans="1:114" s="783" customFormat="1" hidden="1">
      <c r="A210" s="177"/>
      <c r="B210" s="187" t="s">
        <v>40</v>
      </c>
      <c r="C210" s="837" t="s">
        <v>54</v>
      </c>
      <c r="D210" s="31"/>
      <c r="E210" s="31"/>
      <c r="F210" s="31"/>
      <c r="G210" s="31"/>
      <c r="H210" s="134"/>
      <c r="I210" s="134"/>
      <c r="J210" s="134"/>
      <c r="K210" s="134"/>
      <c r="L210" s="242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55"/>
      <c r="Z210" s="242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56"/>
      <c r="AL210" s="242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56"/>
      <c r="AX210" s="31"/>
      <c r="AY210" s="31"/>
      <c r="AZ210" s="109"/>
      <c r="BA210" s="62"/>
      <c r="BB210" s="62"/>
      <c r="BC210" s="62"/>
      <c r="BD210" s="62"/>
      <c r="BE210" s="110"/>
      <c r="BF210" s="109"/>
      <c r="BG210" s="62"/>
      <c r="BH210" s="62"/>
      <c r="BI210" s="110"/>
      <c r="BJ210" s="426">
        <f>BA210-AZ210</f>
        <v>0</v>
      </c>
      <c r="BK210" s="427"/>
      <c r="BL210" s="560"/>
      <c r="BM210" s="109"/>
      <c r="BN210" s="62"/>
      <c r="BO210" s="470"/>
      <c r="BP210" s="64"/>
      <c r="BQ210" s="61"/>
      <c r="BR210" s="65"/>
      <c r="BS210" s="66"/>
      <c r="BT210" s="64"/>
      <c r="BU210" s="61"/>
      <c r="BV210" s="65"/>
      <c r="BW210" s="66"/>
      <c r="BX210" s="431"/>
      <c r="BY210" s="68"/>
      <c r="BZ210" s="69">
        <f>M210+BM210+BQ210+BU210</f>
        <v>0</v>
      </c>
      <c r="CA210" s="70"/>
      <c r="CB210" s="71"/>
      <c r="CC210" s="72">
        <f>BZ210-E210</f>
        <v>0</v>
      </c>
      <c r="CD210" s="562">
        <v>20.83</v>
      </c>
      <c r="CE210" s="561"/>
      <c r="CF210" s="73"/>
      <c r="CG210" s="74"/>
      <c r="CH210" s="74"/>
      <c r="CI210" s="74"/>
      <c r="CJ210" s="74"/>
      <c r="CK210" s="74"/>
      <c r="CL210" s="74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31"/>
      <c r="DB210" s="31"/>
      <c r="DC210" s="31"/>
      <c r="DD210" s="31"/>
      <c r="DE210" s="31"/>
      <c r="DF210" s="108">
        <f t="shared" si="133"/>
        <v>0</v>
      </c>
      <c r="DG210" s="134">
        <f t="shared" si="134"/>
        <v>0</v>
      </c>
      <c r="DI210" s="826"/>
      <c r="DJ210" s="788"/>
    </row>
    <row r="211" spans="1:114" s="783" customFormat="1" hidden="1">
      <c r="A211" s="177"/>
      <c r="B211" s="187" t="s">
        <v>41</v>
      </c>
      <c r="C211" s="837" t="s">
        <v>54</v>
      </c>
      <c r="D211" s="31"/>
      <c r="E211" s="31"/>
      <c r="F211" s="31"/>
      <c r="G211" s="31"/>
      <c r="H211" s="134">
        <v>123.16</v>
      </c>
      <c r="I211" s="134"/>
      <c r="J211" s="134"/>
      <c r="K211" s="134"/>
      <c r="L211" s="134">
        <f>G211/12</f>
        <v>0</v>
      </c>
      <c r="M211" s="134"/>
      <c r="N211" s="134">
        <f>H211/12</f>
        <v>10.263333333333334</v>
      </c>
      <c r="O211" s="134"/>
      <c r="P211" s="134"/>
      <c r="Q211" s="134"/>
      <c r="R211" s="134"/>
      <c r="S211" s="134"/>
      <c r="T211" s="134"/>
      <c r="U211" s="134"/>
      <c r="V211" s="134"/>
      <c r="W211" s="134"/>
      <c r="X211" s="134">
        <f>O211-N211</f>
        <v>-10.263333333333334</v>
      </c>
      <c r="Y211" s="155">
        <f>O211/N211</f>
        <v>0</v>
      </c>
      <c r="Z211" s="134">
        <v>10.26</v>
      </c>
      <c r="AA211" s="134">
        <v>17.5</v>
      </c>
      <c r="AB211" s="134">
        <v>10.26</v>
      </c>
      <c r="AC211" s="134"/>
      <c r="AD211" s="134"/>
      <c r="AE211" s="134"/>
      <c r="AF211" s="134"/>
      <c r="AG211" s="134"/>
      <c r="AH211" s="134"/>
      <c r="AI211" s="134"/>
      <c r="AJ211" s="134">
        <f>AC211-AB211</f>
        <v>-10.26</v>
      </c>
      <c r="AK211" s="156">
        <f>AC211/AB211</f>
        <v>0</v>
      </c>
      <c r="AL211" s="134">
        <v>10.26</v>
      </c>
      <c r="AM211" s="134">
        <v>17.5</v>
      </c>
      <c r="AN211" s="134">
        <v>10.26</v>
      </c>
      <c r="AO211" s="134"/>
      <c r="AP211" s="134"/>
      <c r="AQ211" s="134"/>
      <c r="AR211" s="134"/>
      <c r="AS211" s="134"/>
      <c r="AT211" s="134"/>
      <c r="AU211" s="134"/>
      <c r="AV211" s="134">
        <f>AO211-AN211</f>
        <v>-10.26</v>
      </c>
      <c r="AW211" s="156">
        <f>AO211/AN211</f>
        <v>0</v>
      </c>
      <c r="AX211" s="31">
        <f>G211/2</f>
        <v>0</v>
      </c>
      <c r="AY211" s="31"/>
      <c r="AZ211" s="109"/>
      <c r="BA211" s="62"/>
      <c r="BB211" s="62"/>
      <c r="BC211" s="62"/>
      <c r="BD211" s="62"/>
      <c r="BE211" s="110"/>
      <c r="BF211" s="109"/>
      <c r="BG211" s="62"/>
      <c r="BH211" s="62"/>
      <c r="BI211" s="110"/>
      <c r="BJ211" s="426">
        <f>BA211-AZ211</f>
        <v>0</v>
      </c>
      <c r="BK211" s="427" t="e">
        <f>BA211/AZ211</f>
        <v>#DIV/0!</v>
      </c>
      <c r="BL211" s="560"/>
      <c r="BM211" s="109">
        <v>17.50074</v>
      </c>
      <c r="BN211" s="62"/>
      <c r="BO211" s="470"/>
      <c r="BP211" s="64"/>
      <c r="BQ211" s="61"/>
      <c r="BR211" s="65"/>
      <c r="BS211" s="66"/>
      <c r="BT211" s="64"/>
      <c r="BU211" s="61"/>
      <c r="BV211" s="65"/>
      <c r="BW211" s="66"/>
      <c r="BX211" s="431"/>
      <c r="BY211" s="68"/>
      <c r="BZ211" s="69">
        <f>M211+BM211+BQ211+BU211</f>
        <v>17.50074</v>
      </c>
      <c r="CA211" s="70"/>
      <c r="CB211" s="71"/>
      <c r="CC211" s="72">
        <f>BZ211-E211</f>
        <v>17.50074</v>
      </c>
      <c r="CD211" s="562">
        <v>116.22</v>
      </c>
      <c r="CE211" s="561"/>
      <c r="CF211" s="73"/>
      <c r="CG211" s="74"/>
      <c r="CH211" s="74"/>
      <c r="CI211" s="74"/>
      <c r="CJ211" s="74"/>
      <c r="CK211" s="74"/>
      <c r="CL211" s="74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31"/>
      <c r="DB211" s="31"/>
      <c r="DC211" s="31"/>
      <c r="DD211" s="31"/>
      <c r="DE211" s="31"/>
      <c r="DF211" s="108">
        <f t="shared" si="133"/>
        <v>0</v>
      </c>
      <c r="DG211" s="134">
        <f t="shared" si="134"/>
        <v>0</v>
      </c>
      <c r="DI211" s="826"/>
      <c r="DJ211" s="788"/>
    </row>
    <row r="212" spans="1:114" s="783" customFormat="1" hidden="1">
      <c r="A212" s="177"/>
      <c r="B212" s="187" t="s">
        <v>99</v>
      </c>
      <c r="C212" s="837" t="s">
        <v>54</v>
      </c>
      <c r="D212" s="31">
        <v>28.8</v>
      </c>
      <c r="E212" s="31">
        <v>28.8</v>
      </c>
      <c r="F212" s="31">
        <v>28.8</v>
      </c>
      <c r="G212" s="31">
        <v>28.8</v>
      </c>
      <c r="H212" s="134">
        <v>11.2</v>
      </c>
      <c r="I212" s="134"/>
      <c r="J212" s="134"/>
      <c r="K212" s="134"/>
      <c r="L212" s="134">
        <f>G212/12</f>
        <v>2.4</v>
      </c>
      <c r="M212" s="134"/>
      <c r="N212" s="134">
        <f>H212/12</f>
        <v>0.93333333333333324</v>
      </c>
      <c r="O212" s="134"/>
      <c r="P212" s="134"/>
      <c r="Q212" s="134"/>
      <c r="R212" s="134"/>
      <c r="S212" s="134"/>
      <c r="T212" s="134"/>
      <c r="U212" s="134"/>
      <c r="V212" s="134"/>
      <c r="W212" s="134"/>
      <c r="X212" s="134">
        <f>O212-N212</f>
        <v>-0.93333333333333324</v>
      </c>
      <c r="Y212" s="155">
        <f>O212/N212</f>
        <v>0</v>
      </c>
      <c r="Z212" s="134">
        <v>0.93</v>
      </c>
      <c r="AA212" s="134">
        <v>5.45</v>
      </c>
      <c r="AB212" s="134">
        <v>0.93</v>
      </c>
      <c r="AC212" s="134"/>
      <c r="AD212" s="134"/>
      <c r="AE212" s="134"/>
      <c r="AF212" s="134"/>
      <c r="AG212" s="134"/>
      <c r="AH212" s="134"/>
      <c r="AI212" s="134"/>
      <c r="AJ212" s="134">
        <f>AC212-AB212</f>
        <v>-0.93</v>
      </c>
      <c r="AK212" s="156">
        <f>AC212/AB212</f>
        <v>0</v>
      </c>
      <c r="AL212" s="134">
        <v>0.93</v>
      </c>
      <c r="AM212" s="134">
        <v>5.45</v>
      </c>
      <c r="AN212" s="134">
        <v>0.93</v>
      </c>
      <c r="AO212" s="134"/>
      <c r="AP212" s="134"/>
      <c r="AQ212" s="134"/>
      <c r="AR212" s="134"/>
      <c r="AS212" s="134"/>
      <c r="AT212" s="134"/>
      <c r="AU212" s="134"/>
      <c r="AV212" s="134">
        <f>AO212-AN212</f>
        <v>-0.93</v>
      </c>
      <c r="AW212" s="156">
        <f>AO212/AN212</f>
        <v>0</v>
      </c>
      <c r="AX212" s="31">
        <f>G212/2</f>
        <v>14.4</v>
      </c>
      <c r="AY212" s="31">
        <v>28.85</v>
      </c>
      <c r="AZ212" s="109"/>
      <c r="BA212" s="62">
        <v>16.73</v>
      </c>
      <c r="BB212" s="62"/>
      <c r="BC212" s="62">
        <v>9.5299999999999994</v>
      </c>
      <c r="BD212" s="62"/>
      <c r="BE212" s="110">
        <v>1.73</v>
      </c>
      <c r="BF212" s="109">
        <v>0.81</v>
      </c>
      <c r="BG212" s="62"/>
      <c r="BH212" s="62"/>
      <c r="BI212" s="110"/>
      <c r="BJ212" s="426">
        <f>BA212-AZ212</f>
        <v>16.73</v>
      </c>
      <c r="BK212" s="427" t="e">
        <f>BA212/AZ212</f>
        <v>#DIV/0!</v>
      </c>
      <c r="BL212" s="560"/>
      <c r="BM212" s="109">
        <v>5.4539999999999997</v>
      </c>
      <c r="BN212" s="62"/>
      <c r="BO212" s="470"/>
      <c r="BP212" s="64"/>
      <c r="BQ212" s="61"/>
      <c r="BR212" s="65"/>
      <c r="BS212" s="66"/>
      <c r="BT212" s="64"/>
      <c r="BU212" s="61"/>
      <c r="BV212" s="65"/>
      <c r="BW212" s="66"/>
      <c r="BX212" s="431"/>
      <c r="BY212" s="68"/>
      <c r="BZ212" s="69"/>
      <c r="CA212" s="70"/>
      <c r="CB212" s="71"/>
      <c r="CC212" s="72"/>
      <c r="CD212" s="562"/>
      <c r="CE212" s="561"/>
      <c r="CF212" s="73"/>
      <c r="CG212" s="74"/>
      <c r="CH212" s="74"/>
      <c r="CI212" s="74"/>
      <c r="CJ212" s="74"/>
      <c r="CK212" s="74"/>
      <c r="CL212" s="74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31">
        <v>28.8</v>
      </c>
      <c r="DB212" s="31">
        <v>28.8</v>
      </c>
      <c r="DC212" s="31">
        <v>28.8</v>
      </c>
      <c r="DD212" s="31">
        <v>29.66</v>
      </c>
      <c r="DE212" s="31">
        <v>28.8</v>
      </c>
      <c r="DF212" s="108">
        <f t="shared" si="133"/>
        <v>14.4</v>
      </c>
      <c r="DG212" s="134">
        <f t="shared" si="134"/>
        <v>14.4</v>
      </c>
      <c r="DI212" s="826"/>
      <c r="DJ212" s="788"/>
    </row>
    <row r="213" spans="1:114" s="783" customFormat="1" hidden="1">
      <c r="A213" s="177"/>
      <c r="B213" s="187" t="s">
        <v>21</v>
      </c>
      <c r="C213" s="837" t="s">
        <v>54</v>
      </c>
      <c r="D213" s="31"/>
      <c r="E213" s="31">
        <v>10.199999999999999</v>
      </c>
      <c r="F213" s="31">
        <v>10.199999999999999</v>
      </c>
      <c r="G213" s="31">
        <v>10.199999999999999</v>
      </c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55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56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56"/>
      <c r="AX213" s="31"/>
      <c r="AY213" s="31">
        <v>9.68</v>
      </c>
      <c r="AZ213" s="109"/>
      <c r="BA213" s="62">
        <v>10.19</v>
      </c>
      <c r="BB213" s="62"/>
      <c r="BC213" s="62"/>
      <c r="BD213" s="62"/>
      <c r="BE213" s="110"/>
      <c r="BF213" s="109"/>
      <c r="BG213" s="62"/>
      <c r="BH213" s="62"/>
      <c r="BI213" s="110"/>
      <c r="BJ213" s="426"/>
      <c r="BK213" s="427"/>
      <c r="BL213" s="560"/>
      <c r="BM213" s="109"/>
      <c r="BN213" s="62"/>
      <c r="BO213" s="470"/>
      <c r="BP213" s="64"/>
      <c r="BQ213" s="61"/>
      <c r="BR213" s="65"/>
      <c r="BS213" s="66"/>
      <c r="BT213" s="64"/>
      <c r="BU213" s="61"/>
      <c r="BV213" s="65"/>
      <c r="BW213" s="66"/>
      <c r="BX213" s="431"/>
      <c r="BY213" s="68"/>
      <c r="BZ213" s="69"/>
      <c r="CA213" s="70"/>
      <c r="CB213" s="71"/>
      <c r="CC213" s="72"/>
      <c r="CD213" s="562"/>
      <c r="CE213" s="561"/>
      <c r="CF213" s="73"/>
      <c r="CG213" s="74"/>
      <c r="CH213" s="74"/>
      <c r="CI213" s="74"/>
      <c r="CJ213" s="74"/>
      <c r="CK213" s="74"/>
      <c r="CL213" s="74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31">
        <v>10.199999999999999</v>
      </c>
      <c r="DB213" s="31">
        <v>10.199999999999999</v>
      </c>
      <c r="DC213" s="31">
        <v>10.199999999999999</v>
      </c>
      <c r="DD213" s="31">
        <v>13.15</v>
      </c>
      <c r="DE213" s="31">
        <v>4.59</v>
      </c>
      <c r="DF213" s="108">
        <f t="shared" si="133"/>
        <v>2.2949999999999999</v>
      </c>
      <c r="DG213" s="134">
        <f t="shared" si="134"/>
        <v>2.2949999999999999</v>
      </c>
      <c r="DH213" s="835"/>
      <c r="DI213" s="826"/>
      <c r="DJ213" s="788"/>
    </row>
    <row r="214" spans="1:114" s="783" customFormat="1" hidden="1">
      <c r="A214" s="177"/>
      <c r="B214" s="187" t="s">
        <v>213</v>
      </c>
      <c r="C214" s="837" t="s">
        <v>54</v>
      </c>
      <c r="D214" s="31"/>
      <c r="E214" s="31"/>
      <c r="F214" s="31"/>
      <c r="G214" s="31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55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56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56"/>
      <c r="AX214" s="31"/>
      <c r="AY214" s="31"/>
      <c r="AZ214" s="109"/>
      <c r="BA214" s="62"/>
      <c r="BB214" s="62"/>
      <c r="BC214" s="62"/>
      <c r="BD214" s="62"/>
      <c r="BE214" s="110"/>
      <c r="BF214" s="109"/>
      <c r="BG214" s="62">
        <f>AY214</f>
        <v>0</v>
      </c>
      <c r="BH214" s="62"/>
      <c r="BI214" s="110"/>
      <c r="BJ214" s="426"/>
      <c r="BK214" s="427"/>
      <c r="BL214" s="560"/>
      <c r="BM214" s="109"/>
      <c r="BN214" s="62"/>
      <c r="BO214" s="470"/>
      <c r="BP214" s="64"/>
      <c r="BQ214" s="61"/>
      <c r="BR214" s="65"/>
      <c r="BS214" s="66"/>
      <c r="BT214" s="64"/>
      <c r="BU214" s="61"/>
      <c r="BV214" s="65"/>
      <c r="BW214" s="66"/>
      <c r="BX214" s="431"/>
      <c r="BY214" s="68"/>
      <c r="BZ214" s="69"/>
      <c r="CA214" s="70"/>
      <c r="CB214" s="71"/>
      <c r="CC214" s="72"/>
      <c r="CD214" s="562"/>
      <c r="CE214" s="561"/>
      <c r="CF214" s="73"/>
      <c r="CG214" s="74"/>
      <c r="CH214" s="74"/>
      <c r="CI214" s="74"/>
      <c r="CJ214" s="74"/>
      <c r="CK214" s="74"/>
      <c r="CL214" s="74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31"/>
      <c r="DB214" s="31"/>
      <c r="DC214" s="31"/>
      <c r="DD214" s="31"/>
      <c r="DE214" s="31"/>
      <c r="DF214" s="108">
        <f t="shared" si="133"/>
        <v>0</v>
      </c>
      <c r="DG214" s="134">
        <f t="shared" si="134"/>
        <v>0</v>
      </c>
      <c r="DI214" s="826"/>
      <c r="DJ214" s="788"/>
    </row>
    <row r="215" spans="1:114" s="783" customFormat="1" hidden="1">
      <c r="A215" s="177"/>
      <c r="B215" s="187" t="s">
        <v>309</v>
      </c>
      <c r="C215" s="837" t="s">
        <v>54</v>
      </c>
      <c r="D215" s="31"/>
      <c r="E215" s="31"/>
      <c r="F215" s="31">
        <v>6</v>
      </c>
      <c r="G215" s="31">
        <v>6</v>
      </c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55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56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56"/>
      <c r="AX215" s="31"/>
      <c r="AY215" s="31">
        <v>0.65</v>
      </c>
      <c r="AZ215" s="109"/>
      <c r="BA215" s="62"/>
      <c r="BB215" s="62"/>
      <c r="BC215" s="62"/>
      <c r="BD215" s="62"/>
      <c r="BE215" s="110"/>
      <c r="BF215" s="109"/>
      <c r="BG215" s="62"/>
      <c r="BH215" s="62"/>
      <c r="BI215" s="110"/>
      <c r="BJ215" s="426"/>
      <c r="BK215" s="427"/>
      <c r="BL215" s="560"/>
      <c r="BM215" s="109"/>
      <c r="BN215" s="62"/>
      <c r="BO215" s="470"/>
      <c r="BP215" s="64"/>
      <c r="BQ215" s="61"/>
      <c r="BR215" s="65"/>
      <c r="BS215" s="66"/>
      <c r="BT215" s="64"/>
      <c r="BU215" s="61"/>
      <c r="BV215" s="65"/>
      <c r="BW215" s="66"/>
      <c r="BX215" s="431"/>
      <c r="BY215" s="68"/>
      <c r="BZ215" s="69"/>
      <c r="CA215" s="70"/>
      <c r="CB215" s="71"/>
      <c r="CC215" s="72"/>
      <c r="CD215" s="562"/>
      <c r="CE215" s="561"/>
      <c r="CF215" s="73"/>
      <c r="CG215" s="74"/>
      <c r="CH215" s="74"/>
      <c r="CI215" s="74"/>
      <c r="CJ215" s="74"/>
      <c r="CK215" s="74"/>
      <c r="CL215" s="74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31"/>
      <c r="DB215" s="31">
        <v>6</v>
      </c>
      <c r="DC215" s="31">
        <v>6</v>
      </c>
      <c r="DD215" s="31">
        <v>3.2</v>
      </c>
      <c r="DE215" s="31">
        <v>6</v>
      </c>
      <c r="DF215" s="108">
        <f t="shared" si="133"/>
        <v>3</v>
      </c>
      <c r="DG215" s="134">
        <f t="shared" si="134"/>
        <v>3</v>
      </c>
      <c r="DI215" s="826"/>
      <c r="DJ215" s="788"/>
    </row>
    <row r="216" spans="1:114" s="783" customFormat="1" hidden="1">
      <c r="A216" s="177"/>
      <c r="B216" s="187" t="s">
        <v>184</v>
      </c>
      <c r="C216" s="837" t="s">
        <v>54</v>
      </c>
      <c r="D216" s="31">
        <v>14.4</v>
      </c>
      <c r="E216" s="31"/>
      <c r="F216" s="31"/>
      <c r="G216" s="31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55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56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56"/>
      <c r="AX216" s="31"/>
      <c r="AY216" s="31"/>
      <c r="AZ216" s="109"/>
      <c r="BA216" s="62"/>
      <c r="BB216" s="62"/>
      <c r="BC216" s="62"/>
      <c r="BD216" s="62"/>
      <c r="BE216" s="110"/>
      <c r="BF216" s="109"/>
      <c r="BG216" s="62"/>
      <c r="BH216" s="62"/>
      <c r="BI216" s="110"/>
      <c r="BJ216" s="426"/>
      <c r="BK216" s="427"/>
      <c r="BL216" s="560"/>
      <c r="BM216" s="109"/>
      <c r="BN216" s="62"/>
      <c r="BO216" s="470"/>
      <c r="BP216" s="64"/>
      <c r="BQ216" s="61"/>
      <c r="BR216" s="65"/>
      <c r="BS216" s="66"/>
      <c r="BT216" s="64"/>
      <c r="BU216" s="61"/>
      <c r="BV216" s="65"/>
      <c r="BW216" s="66"/>
      <c r="BX216" s="431"/>
      <c r="BY216" s="68"/>
      <c r="BZ216" s="69"/>
      <c r="CA216" s="70"/>
      <c r="CB216" s="71"/>
      <c r="CC216" s="72"/>
      <c r="CD216" s="562"/>
      <c r="CE216" s="561"/>
      <c r="CF216" s="73"/>
      <c r="CG216" s="74"/>
      <c r="CH216" s="74"/>
      <c r="CI216" s="74"/>
      <c r="CJ216" s="74"/>
      <c r="CK216" s="74"/>
      <c r="CL216" s="74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31"/>
      <c r="DB216" s="31"/>
      <c r="DC216" s="31"/>
      <c r="DD216" s="31"/>
      <c r="DE216" s="31"/>
      <c r="DF216" s="108">
        <f t="shared" si="133"/>
        <v>0</v>
      </c>
      <c r="DG216" s="134">
        <f t="shared" si="134"/>
        <v>0</v>
      </c>
      <c r="DI216" s="826"/>
      <c r="DJ216" s="788"/>
    </row>
    <row r="217" spans="1:114" s="783" customFormat="1" ht="24" hidden="1">
      <c r="A217" s="177"/>
      <c r="B217" s="187" t="s">
        <v>68</v>
      </c>
      <c r="C217" s="837" t="s">
        <v>54</v>
      </c>
      <c r="D217" s="31">
        <v>1.2</v>
      </c>
      <c r="E217" s="31"/>
      <c r="F217" s="31"/>
      <c r="G217" s="31"/>
      <c r="H217" s="134"/>
      <c r="I217" s="134"/>
      <c r="J217" s="134"/>
      <c r="K217" s="134"/>
      <c r="L217" s="242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55"/>
      <c r="Z217" s="242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56"/>
      <c r="AL217" s="242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56"/>
      <c r="AX217" s="31"/>
      <c r="AY217" s="31"/>
      <c r="AZ217" s="109"/>
      <c r="BA217" s="62"/>
      <c r="BB217" s="62"/>
      <c r="BC217" s="62"/>
      <c r="BD217" s="62"/>
      <c r="BE217" s="110"/>
      <c r="BF217" s="109"/>
      <c r="BG217" s="62"/>
      <c r="BH217" s="62"/>
      <c r="BI217" s="110"/>
      <c r="BJ217" s="426">
        <f>BA217-AZ217</f>
        <v>0</v>
      </c>
      <c r="BK217" s="427"/>
      <c r="BL217" s="560"/>
      <c r="BM217" s="109"/>
      <c r="BN217" s="62"/>
      <c r="BO217" s="470"/>
      <c r="BP217" s="64"/>
      <c r="BQ217" s="61"/>
      <c r="BR217" s="65"/>
      <c r="BS217" s="66"/>
      <c r="BT217" s="64"/>
      <c r="BU217" s="61"/>
      <c r="BV217" s="65"/>
      <c r="BW217" s="66"/>
      <c r="BX217" s="431"/>
      <c r="BY217" s="68"/>
      <c r="BZ217" s="69">
        <f>M217+BM217+BQ217+BU217</f>
        <v>0</v>
      </c>
      <c r="CA217" s="70"/>
      <c r="CB217" s="71"/>
      <c r="CC217" s="72">
        <f>BZ217-E217</f>
        <v>0</v>
      </c>
      <c r="CD217" s="562">
        <v>0.4</v>
      </c>
      <c r="CE217" s="561"/>
      <c r="CF217" s="73"/>
      <c r="CG217" s="74"/>
      <c r="CH217" s="74"/>
      <c r="CI217" s="74"/>
      <c r="CJ217" s="74"/>
      <c r="CK217" s="74"/>
      <c r="CL217" s="74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31"/>
      <c r="DB217" s="31"/>
      <c r="DC217" s="31"/>
      <c r="DD217" s="31"/>
      <c r="DE217" s="31"/>
      <c r="DF217" s="108">
        <f t="shared" si="133"/>
        <v>0</v>
      </c>
      <c r="DG217" s="134">
        <f t="shared" si="134"/>
        <v>0</v>
      </c>
      <c r="DI217" s="826"/>
      <c r="DJ217" s="788"/>
    </row>
    <row r="218" spans="1:114" s="783" customFormat="1" hidden="1">
      <c r="A218" s="177"/>
      <c r="B218" s="187" t="s">
        <v>62</v>
      </c>
      <c r="C218" s="837" t="s">
        <v>54</v>
      </c>
      <c r="D218" s="31">
        <v>60</v>
      </c>
      <c r="E218" s="31"/>
      <c r="F218" s="31"/>
      <c r="G218" s="31"/>
      <c r="H218" s="134"/>
      <c r="I218" s="134"/>
      <c r="J218" s="134"/>
      <c r="K218" s="134"/>
      <c r="L218" s="242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55"/>
      <c r="Z218" s="242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56"/>
      <c r="AL218" s="242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56"/>
      <c r="AX218" s="31"/>
      <c r="AY218" s="31">
        <v>11.25</v>
      </c>
      <c r="AZ218" s="109"/>
      <c r="BA218" s="62"/>
      <c r="BB218" s="62"/>
      <c r="BC218" s="62"/>
      <c r="BD218" s="62"/>
      <c r="BE218" s="110"/>
      <c r="BF218" s="109"/>
      <c r="BG218" s="62">
        <v>44.29</v>
      </c>
      <c r="BH218" s="62"/>
      <c r="BI218" s="110"/>
      <c r="BJ218" s="426">
        <f>BA218-AZ218</f>
        <v>0</v>
      </c>
      <c r="BK218" s="427"/>
      <c r="BL218" s="560"/>
      <c r="BM218" s="109"/>
      <c r="BN218" s="62"/>
      <c r="BO218" s="470"/>
      <c r="BP218" s="64"/>
      <c r="BQ218" s="61"/>
      <c r="BR218" s="65"/>
      <c r="BS218" s="66"/>
      <c r="BT218" s="64"/>
      <c r="BU218" s="61"/>
      <c r="BV218" s="65"/>
      <c r="BW218" s="66"/>
      <c r="BX218" s="431"/>
      <c r="BY218" s="68"/>
      <c r="BZ218" s="69">
        <f>M218+BM218+BQ218+BU218</f>
        <v>0</v>
      </c>
      <c r="CA218" s="70"/>
      <c r="CB218" s="71"/>
      <c r="CC218" s="72">
        <f>BZ218-E218</f>
        <v>0</v>
      </c>
      <c r="CD218" s="562">
        <v>1.85</v>
      </c>
      <c r="CE218" s="561"/>
      <c r="CF218" s="73"/>
      <c r="CG218" s="74"/>
      <c r="CH218" s="74"/>
      <c r="CI218" s="74"/>
      <c r="CJ218" s="74"/>
      <c r="CK218" s="74"/>
      <c r="CL218" s="74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31"/>
      <c r="DB218" s="31"/>
      <c r="DC218" s="31"/>
      <c r="DD218" s="31"/>
      <c r="DE218" s="31"/>
      <c r="DF218" s="108">
        <f t="shared" si="133"/>
        <v>0</v>
      </c>
      <c r="DG218" s="134">
        <f t="shared" si="134"/>
        <v>0</v>
      </c>
      <c r="DI218" s="826"/>
      <c r="DJ218" s="788"/>
    </row>
    <row r="219" spans="1:114" s="783" customFormat="1" hidden="1">
      <c r="A219" s="177"/>
      <c r="B219" s="187" t="s">
        <v>63</v>
      </c>
      <c r="C219" s="837" t="s">
        <v>54</v>
      </c>
      <c r="D219" s="31">
        <v>5.8</v>
      </c>
      <c r="E219" s="31">
        <v>7.4</v>
      </c>
      <c r="F219" s="31">
        <v>7.4</v>
      </c>
      <c r="G219" s="31">
        <v>7.4</v>
      </c>
      <c r="H219" s="134"/>
      <c r="I219" s="134"/>
      <c r="J219" s="134"/>
      <c r="K219" s="134"/>
      <c r="L219" s="242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55"/>
      <c r="Z219" s="242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56"/>
      <c r="AL219" s="242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56"/>
      <c r="AX219" s="31"/>
      <c r="AY219" s="31">
        <v>3</v>
      </c>
      <c r="AZ219" s="109"/>
      <c r="BA219" s="62">
        <v>3.37</v>
      </c>
      <c r="BB219" s="62"/>
      <c r="BC219" s="62">
        <v>2.73</v>
      </c>
      <c r="BD219" s="62"/>
      <c r="BE219" s="110">
        <v>1.3</v>
      </c>
      <c r="BF219" s="109"/>
      <c r="BG219" s="62"/>
      <c r="BH219" s="62"/>
      <c r="BI219" s="110"/>
      <c r="BJ219" s="426"/>
      <c r="BK219" s="427"/>
      <c r="BL219" s="560"/>
      <c r="BM219" s="109"/>
      <c r="BN219" s="62"/>
      <c r="BO219" s="470"/>
      <c r="BP219" s="64"/>
      <c r="BQ219" s="61"/>
      <c r="BR219" s="65"/>
      <c r="BS219" s="66"/>
      <c r="BT219" s="64"/>
      <c r="BU219" s="61"/>
      <c r="BV219" s="65"/>
      <c r="BW219" s="66"/>
      <c r="BX219" s="431"/>
      <c r="BY219" s="68"/>
      <c r="BZ219" s="69"/>
      <c r="CA219" s="70"/>
      <c r="CB219" s="71"/>
      <c r="CC219" s="72"/>
      <c r="CD219" s="562"/>
      <c r="CE219" s="561"/>
      <c r="CF219" s="73"/>
      <c r="CG219" s="74"/>
      <c r="CH219" s="74"/>
      <c r="CI219" s="74"/>
      <c r="CJ219" s="74"/>
      <c r="CK219" s="74"/>
      <c r="CL219" s="74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31">
        <v>7.4</v>
      </c>
      <c r="DB219" s="31">
        <v>7.4</v>
      </c>
      <c r="DC219" s="31">
        <v>7.4</v>
      </c>
      <c r="DD219" s="31">
        <v>5</v>
      </c>
      <c r="DE219" s="31">
        <v>7.4</v>
      </c>
      <c r="DF219" s="108">
        <f t="shared" si="133"/>
        <v>3.7</v>
      </c>
      <c r="DG219" s="134">
        <f t="shared" si="134"/>
        <v>3.7</v>
      </c>
      <c r="DI219" s="826"/>
      <c r="DJ219" s="788"/>
    </row>
    <row r="220" spans="1:114" s="783" customFormat="1" hidden="1">
      <c r="A220" s="177"/>
      <c r="B220" s="187" t="s">
        <v>34</v>
      </c>
      <c r="C220" s="837" t="s">
        <v>54</v>
      </c>
      <c r="D220" s="31">
        <v>9</v>
      </c>
      <c r="E220" s="31">
        <v>9</v>
      </c>
      <c r="F220" s="31">
        <v>9</v>
      </c>
      <c r="G220" s="31">
        <v>9</v>
      </c>
      <c r="H220" s="134">
        <v>3</v>
      </c>
      <c r="I220" s="134"/>
      <c r="J220" s="134"/>
      <c r="K220" s="134"/>
      <c r="L220" s="134">
        <f>G220/12</f>
        <v>0.75</v>
      </c>
      <c r="M220" s="245">
        <v>0.05</v>
      </c>
      <c r="N220" s="134">
        <f>H220/12</f>
        <v>0.25</v>
      </c>
      <c r="O220" s="245">
        <v>0.05</v>
      </c>
      <c r="P220" s="245"/>
      <c r="Q220" s="245"/>
      <c r="R220" s="245"/>
      <c r="S220" s="245"/>
      <c r="T220" s="245"/>
      <c r="U220" s="245"/>
      <c r="V220" s="245"/>
      <c r="W220" s="245"/>
      <c r="X220" s="134">
        <f>O220-N220</f>
        <v>-0.2</v>
      </c>
      <c r="Y220" s="155">
        <f>O220/N220</f>
        <v>0.2</v>
      </c>
      <c r="Z220" s="134">
        <v>0.25</v>
      </c>
      <c r="AA220" s="245">
        <v>0.42</v>
      </c>
      <c r="AB220" s="134">
        <v>0.25</v>
      </c>
      <c r="AC220" s="245"/>
      <c r="AD220" s="245"/>
      <c r="AE220" s="245"/>
      <c r="AF220" s="245"/>
      <c r="AG220" s="245"/>
      <c r="AH220" s="245"/>
      <c r="AI220" s="245"/>
      <c r="AJ220" s="134">
        <f>AC220-AB220</f>
        <v>-0.25</v>
      </c>
      <c r="AK220" s="156">
        <f>AC220/AB220</f>
        <v>0</v>
      </c>
      <c r="AL220" s="134">
        <v>0.25</v>
      </c>
      <c r="AM220" s="245">
        <v>0.42</v>
      </c>
      <c r="AN220" s="134">
        <v>0.25</v>
      </c>
      <c r="AO220" s="245"/>
      <c r="AP220" s="245"/>
      <c r="AQ220" s="245"/>
      <c r="AR220" s="245"/>
      <c r="AS220" s="245"/>
      <c r="AT220" s="245"/>
      <c r="AU220" s="245"/>
      <c r="AV220" s="134">
        <f>AO220-AN220</f>
        <v>-0.25</v>
      </c>
      <c r="AW220" s="156">
        <f>AO220/AN220</f>
        <v>0</v>
      </c>
      <c r="AX220" s="31">
        <f>G220/2</f>
        <v>4.5</v>
      </c>
      <c r="AY220" s="31">
        <f>13.92-5.48</f>
        <v>8.44</v>
      </c>
      <c r="AZ220" s="109"/>
      <c r="BA220" s="62">
        <v>4.0999999999999996</v>
      </c>
      <c r="BB220" s="7"/>
      <c r="BC220" s="62">
        <v>1.73</v>
      </c>
      <c r="BD220" s="62"/>
      <c r="BE220" s="110">
        <v>0.08</v>
      </c>
      <c r="BF220" s="109"/>
      <c r="BG220" s="62"/>
      <c r="BH220" s="7"/>
      <c r="BI220" s="8"/>
      <c r="BJ220" s="426">
        <f>BA220-AZ220</f>
        <v>4.0999999999999996</v>
      </c>
      <c r="BK220" s="427" t="e">
        <f>BA220/AZ220</f>
        <v>#DIV/0!</v>
      </c>
      <c r="BL220" s="560"/>
      <c r="BM220" s="109">
        <v>0.41539999999999999</v>
      </c>
      <c r="BN220" s="62"/>
      <c r="BO220" s="470"/>
      <c r="BP220" s="64"/>
      <c r="BQ220" s="61"/>
      <c r="BR220" s="65"/>
      <c r="BS220" s="66"/>
      <c r="BT220" s="64"/>
      <c r="BU220" s="61"/>
      <c r="BV220" s="65"/>
      <c r="BW220" s="66"/>
      <c r="BX220" s="431"/>
      <c r="BY220" s="68"/>
      <c r="BZ220" s="69">
        <f>M220+BM220+BQ220+BU220</f>
        <v>0.46539999999999998</v>
      </c>
      <c r="CA220" s="70"/>
      <c r="CB220" s="71"/>
      <c r="CC220" s="72">
        <f>BZ220-E220</f>
        <v>-8.5345999999999993</v>
      </c>
      <c r="CD220" s="562">
        <v>2.1</v>
      </c>
      <c r="CE220" s="561"/>
      <c r="CF220" s="73"/>
      <c r="CG220" s="74"/>
      <c r="CH220" s="74"/>
      <c r="CI220" s="74"/>
      <c r="CJ220" s="74"/>
      <c r="CK220" s="74"/>
      <c r="CL220" s="74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31">
        <v>9</v>
      </c>
      <c r="DB220" s="31">
        <v>9</v>
      </c>
      <c r="DC220" s="31">
        <v>9</v>
      </c>
      <c r="DD220" s="31">
        <v>9.6300000000000008</v>
      </c>
      <c r="DE220" s="31">
        <v>9</v>
      </c>
      <c r="DF220" s="108">
        <f t="shared" si="133"/>
        <v>4.5</v>
      </c>
      <c r="DG220" s="134">
        <f>DF220</f>
        <v>4.5</v>
      </c>
      <c r="DI220" s="826"/>
      <c r="DJ220" s="788"/>
    </row>
    <row r="221" spans="1:114" s="783" customFormat="1" hidden="1">
      <c r="A221" s="177"/>
      <c r="B221" s="187" t="s">
        <v>187</v>
      </c>
      <c r="C221" s="837" t="s">
        <v>54</v>
      </c>
      <c r="D221" s="31"/>
      <c r="E221" s="31"/>
      <c r="F221" s="31"/>
      <c r="G221" s="31"/>
      <c r="H221" s="134"/>
      <c r="I221" s="134"/>
      <c r="J221" s="134"/>
      <c r="K221" s="134"/>
      <c r="L221" s="134"/>
      <c r="M221" s="245"/>
      <c r="N221" s="134"/>
      <c r="O221" s="245"/>
      <c r="P221" s="245"/>
      <c r="Q221" s="245"/>
      <c r="R221" s="245"/>
      <c r="S221" s="245"/>
      <c r="T221" s="245"/>
      <c r="U221" s="245"/>
      <c r="V221" s="245"/>
      <c r="W221" s="245"/>
      <c r="X221" s="134"/>
      <c r="Y221" s="155"/>
      <c r="Z221" s="134"/>
      <c r="AA221" s="245"/>
      <c r="AB221" s="134"/>
      <c r="AC221" s="245"/>
      <c r="AD221" s="245"/>
      <c r="AE221" s="245"/>
      <c r="AF221" s="245"/>
      <c r="AG221" s="245"/>
      <c r="AH221" s="245"/>
      <c r="AI221" s="245"/>
      <c r="AJ221" s="134"/>
      <c r="AK221" s="156"/>
      <c r="AL221" s="134"/>
      <c r="AM221" s="245"/>
      <c r="AN221" s="134"/>
      <c r="AO221" s="245"/>
      <c r="AP221" s="245"/>
      <c r="AQ221" s="245"/>
      <c r="AR221" s="245"/>
      <c r="AS221" s="245"/>
      <c r="AT221" s="245"/>
      <c r="AU221" s="245"/>
      <c r="AV221" s="134"/>
      <c r="AW221" s="156"/>
      <c r="AX221" s="31"/>
      <c r="AY221" s="31"/>
      <c r="AZ221" s="109"/>
      <c r="BA221" s="62"/>
      <c r="BB221" s="7"/>
      <c r="BC221" s="62"/>
      <c r="BD221" s="62"/>
      <c r="BE221" s="110"/>
      <c r="BF221" s="109"/>
      <c r="BG221" s="62"/>
      <c r="BH221" s="7"/>
      <c r="BI221" s="8"/>
      <c r="BJ221" s="426"/>
      <c r="BK221" s="427"/>
      <c r="BL221" s="560"/>
      <c r="BM221" s="109"/>
      <c r="BN221" s="62"/>
      <c r="BO221" s="470"/>
      <c r="BP221" s="64"/>
      <c r="BQ221" s="61"/>
      <c r="BR221" s="65"/>
      <c r="BS221" s="66"/>
      <c r="BT221" s="64"/>
      <c r="BU221" s="61"/>
      <c r="BV221" s="65"/>
      <c r="BW221" s="66"/>
      <c r="BX221" s="431"/>
      <c r="BY221" s="68"/>
      <c r="BZ221" s="69"/>
      <c r="CA221" s="70"/>
      <c r="CB221" s="71"/>
      <c r="CC221" s="72"/>
      <c r="CD221" s="562"/>
      <c r="CE221" s="561"/>
      <c r="CF221" s="73"/>
      <c r="CG221" s="74"/>
      <c r="CH221" s="74"/>
      <c r="CI221" s="74"/>
      <c r="CJ221" s="74"/>
      <c r="CK221" s="74"/>
      <c r="CL221" s="74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31"/>
      <c r="DB221" s="31"/>
      <c r="DC221" s="31"/>
      <c r="DD221" s="31"/>
      <c r="DE221" s="31"/>
      <c r="DF221" s="108">
        <f t="shared" si="133"/>
        <v>0</v>
      </c>
      <c r="DG221" s="134">
        <f t="shared" si="134"/>
        <v>0</v>
      </c>
      <c r="DI221" s="826"/>
      <c r="DJ221" s="788"/>
    </row>
    <row r="222" spans="1:114" s="783" customFormat="1" hidden="1">
      <c r="A222" s="177"/>
      <c r="B222" s="187" t="s">
        <v>11</v>
      </c>
      <c r="C222" s="837" t="s">
        <v>54</v>
      </c>
      <c r="D222" s="31">
        <v>47.64</v>
      </c>
      <c r="E222" s="31">
        <v>49.73</v>
      </c>
      <c r="F222" s="31">
        <v>49.73</v>
      </c>
      <c r="G222" s="31">
        <v>49.73</v>
      </c>
      <c r="H222" s="134">
        <v>66</v>
      </c>
      <c r="I222" s="134"/>
      <c r="J222" s="134"/>
      <c r="K222" s="134"/>
      <c r="L222" s="134">
        <f>G222/12</f>
        <v>4.1441666666666661</v>
      </c>
      <c r="M222" s="134">
        <v>4.8899999999999997</v>
      </c>
      <c r="N222" s="134">
        <f>H222/12</f>
        <v>5.5</v>
      </c>
      <c r="O222" s="134">
        <v>4.8899999999999997</v>
      </c>
      <c r="P222" s="134"/>
      <c r="Q222" s="134"/>
      <c r="R222" s="134"/>
      <c r="S222" s="134"/>
      <c r="T222" s="134"/>
      <c r="U222" s="134"/>
      <c r="V222" s="134"/>
      <c r="W222" s="134"/>
      <c r="X222" s="134">
        <f>O222-N222</f>
        <v>-0.61000000000000032</v>
      </c>
      <c r="Y222" s="155">
        <f>O222/N222</f>
        <v>0.88909090909090904</v>
      </c>
      <c r="Z222" s="134">
        <v>5.5</v>
      </c>
      <c r="AA222" s="134">
        <v>4.7699999999999996</v>
      </c>
      <c r="AB222" s="134">
        <v>5.5</v>
      </c>
      <c r="AC222" s="134"/>
      <c r="AD222" s="134"/>
      <c r="AE222" s="134"/>
      <c r="AF222" s="134"/>
      <c r="AG222" s="134"/>
      <c r="AH222" s="134"/>
      <c r="AI222" s="134"/>
      <c r="AJ222" s="134">
        <f>AC222-AB222</f>
        <v>-5.5</v>
      </c>
      <c r="AK222" s="156">
        <f>AC222/AB222</f>
        <v>0</v>
      </c>
      <c r="AL222" s="134">
        <v>5.5</v>
      </c>
      <c r="AM222" s="134">
        <v>4.7699999999999996</v>
      </c>
      <c r="AN222" s="134">
        <v>5.5</v>
      </c>
      <c r="AO222" s="134"/>
      <c r="AP222" s="134"/>
      <c r="AQ222" s="134"/>
      <c r="AR222" s="134"/>
      <c r="AS222" s="134"/>
      <c r="AT222" s="134"/>
      <c r="AU222" s="134"/>
      <c r="AV222" s="134">
        <f>AO222-AN222</f>
        <v>-5.5</v>
      </c>
      <c r="AW222" s="156">
        <f>AO222/AN222</f>
        <v>0</v>
      </c>
      <c r="AX222" s="31">
        <f>G222/2</f>
        <v>24.864999999999998</v>
      </c>
      <c r="AY222" s="31">
        <v>45.29</v>
      </c>
      <c r="AZ222" s="109"/>
      <c r="BA222" s="62">
        <v>29.48</v>
      </c>
      <c r="BB222" s="62"/>
      <c r="BC222" s="62">
        <v>17.07</v>
      </c>
      <c r="BD222" s="62"/>
      <c r="BE222" s="110">
        <v>2.08</v>
      </c>
      <c r="BF222" s="109"/>
      <c r="BG222" s="62"/>
      <c r="BH222" s="62"/>
      <c r="BI222" s="110"/>
      <c r="BJ222" s="426">
        <f>BA222-AZ222</f>
        <v>29.48</v>
      </c>
      <c r="BK222" s="427" t="e">
        <f>BA222/AZ222</f>
        <v>#DIV/0!</v>
      </c>
      <c r="BL222" s="560"/>
      <c r="BM222" s="109">
        <v>4.77372</v>
      </c>
      <c r="BN222" s="62"/>
      <c r="BO222" s="470"/>
      <c r="BP222" s="64"/>
      <c r="BQ222" s="61"/>
      <c r="BR222" s="65"/>
      <c r="BS222" s="66"/>
      <c r="BT222" s="64"/>
      <c r="BU222" s="61"/>
      <c r="BV222" s="65"/>
      <c r="BW222" s="66"/>
      <c r="BX222" s="431"/>
      <c r="BY222" s="68"/>
      <c r="BZ222" s="69">
        <f>M222+BM222+BQ222+BU222</f>
        <v>9.6637199999999996</v>
      </c>
      <c r="CA222" s="70"/>
      <c r="CB222" s="71"/>
      <c r="CC222" s="72">
        <f>BZ222-E222</f>
        <v>-40.066279999999999</v>
      </c>
      <c r="CD222" s="562">
        <v>58.49</v>
      </c>
      <c r="CE222" s="561"/>
      <c r="CF222" s="73"/>
      <c r="CG222" s="74"/>
      <c r="CH222" s="74"/>
      <c r="CI222" s="74"/>
      <c r="CJ222" s="74"/>
      <c r="CK222" s="74"/>
      <c r="CL222" s="74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31">
        <v>49.73</v>
      </c>
      <c r="DB222" s="31">
        <v>49.73</v>
      </c>
      <c r="DC222" s="31">
        <v>49.73</v>
      </c>
      <c r="DD222" s="31">
        <v>43.37</v>
      </c>
      <c r="DE222" s="31">
        <v>49.73</v>
      </c>
      <c r="DF222" s="108">
        <f t="shared" si="133"/>
        <v>24.864999999999998</v>
      </c>
      <c r="DG222" s="134">
        <f t="shared" si="134"/>
        <v>24.864999999999998</v>
      </c>
      <c r="DI222" s="826"/>
      <c r="DJ222" s="788"/>
    </row>
    <row r="223" spans="1:114" s="783" customFormat="1" hidden="1">
      <c r="A223" s="194"/>
      <c r="B223" s="195" t="s">
        <v>159</v>
      </c>
      <c r="C223" s="837" t="s">
        <v>54</v>
      </c>
      <c r="D223" s="31">
        <v>13.2</v>
      </c>
      <c r="E223" s="31">
        <v>13.2</v>
      </c>
      <c r="F223" s="31">
        <v>13.2</v>
      </c>
      <c r="G223" s="31">
        <v>13.2</v>
      </c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55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56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56"/>
      <c r="AX223" s="31"/>
      <c r="AY223" s="31">
        <v>13.05</v>
      </c>
      <c r="AZ223" s="109"/>
      <c r="BA223" s="62">
        <v>8.08</v>
      </c>
      <c r="BB223" s="62"/>
      <c r="BC223" s="62">
        <v>4.49</v>
      </c>
      <c r="BD223" s="62"/>
      <c r="BE223" s="110">
        <v>0.53</v>
      </c>
      <c r="BF223" s="109"/>
      <c r="BG223" s="62"/>
      <c r="BH223" s="62"/>
      <c r="BI223" s="110"/>
      <c r="BJ223" s="426"/>
      <c r="BK223" s="427"/>
      <c r="BL223" s="560"/>
      <c r="BM223" s="149"/>
      <c r="BN223" s="62"/>
      <c r="BO223" s="470"/>
      <c r="BP223" s="485"/>
      <c r="BQ223" s="483"/>
      <c r="BR223" s="486"/>
      <c r="BS223" s="487"/>
      <c r="BT223" s="485"/>
      <c r="BU223" s="483"/>
      <c r="BV223" s="486"/>
      <c r="BW223" s="487"/>
      <c r="BX223" s="440"/>
      <c r="BY223" s="488"/>
      <c r="BZ223" s="489"/>
      <c r="CA223" s="490"/>
      <c r="CB223" s="491"/>
      <c r="CC223" s="72"/>
      <c r="CD223" s="562"/>
      <c r="CE223" s="561"/>
      <c r="CF223" s="492"/>
      <c r="CG223" s="74"/>
      <c r="CH223" s="74"/>
      <c r="CI223" s="74"/>
      <c r="CJ223" s="74"/>
      <c r="CK223" s="74"/>
      <c r="CL223" s="74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31">
        <v>13.2</v>
      </c>
      <c r="DB223" s="31">
        <v>13.2</v>
      </c>
      <c r="DC223" s="31">
        <v>13.2</v>
      </c>
      <c r="DD223" s="31">
        <v>13.2</v>
      </c>
      <c r="DE223" s="31">
        <v>13.2</v>
      </c>
      <c r="DF223" s="108">
        <f t="shared" si="133"/>
        <v>6.6</v>
      </c>
      <c r="DG223" s="134">
        <f t="shared" si="134"/>
        <v>6.6</v>
      </c>
      <c r="DI223" s="826"/>
      <c r="DJ223" s="788"/>
    </row>
    <row r="224" spans="1:114" s="783" customFormat="1" hidden="1">
      <c r="A224" s="194"/>
      <c r="B224" s="195" t="s">
        <v>316</v>
      </c>
      <c r="C224" s="837"/>
      <c r="D224" s="31"/>
      <c r="E224" s="31"/>
      <c r="F224" s="31"/>
      <c r="G224" s="31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112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113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113"/>
      <c r="AX224" s="31"/>
      <c r="AY224" s="31">
        <v>0.45</v>
      </c>
      <c r="AZ224" s="109"/>
      <c r="BA224" s="62"/>
      <c r="BB224" s="62"/>
      <c r="BC224" s="62"/>
      <c r="BD224" s="62"/>
      <c r="BE224" s="110"/>
      <c r="BF224" s="109"/>
      <c r="BG224" s="62"/>
      <c r="BH224" s="103"/>
      <c r="BI224" s="104"/>
      <c r="BJ224" s="417"/>
      <c r="BK224" s="418"/>
      <c r="BL224" s="36"/>
      <c r="BM224" s="2"/>
      <c r="BN224" s="103"/>
      <c r="BO224" s="455"/>
      <c r="BP224" s="14"/>
      <c r="BQ224" s="15"/>
      <c r="BR224" s="563"/>
      <c r="BS224" s="17"/>
      <c r="BT224" s="14"/>
      <c r="BU224" s="15"/>
      <c r="BV224" s="563"/>
      <c r="BW224" s="17"/>
      <c r="BX224" s="18"/>
      <c r="BY224" s="19"/>
      <c r="BZ224" s="20"/>
      <c r="CA224" s="564"/>
      <c r="CB224" s="21"/>
      <c r="CC224" s="93"/>
      <c r="CD224" s="565"/>
      <c r="CE224" s="566"/>
      <c r="CF224" s="24"/>
      <c r="CG224" s="74"/>
      <c r="CH224" s="74"/>
      <c r="CI224" s="74"/>
      <c r="CJ224" s="74"/>
      <c r="CK224" s="74"/>
      <c r="CL224" s="74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31"/>
      <c r="DB224" s="31"/>
      <c r="DC224" s="31"/>
      <c r="DD224" s="31"/>
      <c r="DE224" s="31"/>
      <c r="DF224" s="108">
        <f t="shared" si="133"/>
        <v>0</v>
      </c>
      <c r="DG224" s="134">
        <f t="shared" si="134"/>
        <v>0</v>
      </c>
      <c r="DI224" s="826"/>
      <c r="DJ224" s="788"/>
    </row>
    <row r="225" spans="1:114" s="783" customFormat="1" hidden="1">
      <c r="A225" s="177"/>
      <c r="B225" s="187" t="s">
        <v>19</v>
      </c>
      <c r="C225" s="837" t="s">
        <v>54</v>
      </c>
      <c r="D225" s="31"/>
      <c r="E225" s="31"/>
      <c r="F225" s="31"/>
      <c r="G225" s="31"/>
      <c r="H225" s="31"/>
      <c r="I225" s="31"/>
      <c r="J225" s="31"/>
      <c r="K225" s="31"/>
      <c r="L225" s="105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106"/>
      <c r="Z225" s="105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107"/>
      <c r="AL225" s="105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107"/>
      <c r="AX225" s="108"/>
      <c r="AY225" s="31">
        <v>0.85</v>
      </c>
      <c r="AZ225" s="109"/>
      <c r="BA225" s="62">
        <v>16.760000000000002</v>
      </c>
      <c r="BB225" s="62"/>
      <c r="BC225" s="62">
        <v>12.06</v>
      </c>
      <c r="BD225" s="62"/>
      <c r="BE225" s="110">
        <v>0.87</v>
      </c>
      <c r="BF225" s="109"/>
      <c r="BG225" s="62"/>
      <c r="BH225" s="103"/>
      <c r="BI225" s="104"/>
      <c r="BJ225" s="417"/>
      <c r="BK225" s="418"/>
      <c r="BL225" s="36"/>
      <c r="BM225" s="2"/>
      <c r="BN225" s="103"/>
      <c r="BO225" s="455"/>
      <c r="BP225" s="14"/>
      <c r="BQ225" s="15"/>
      <c r="BR225" s="563"/>
      <c r="BS225" s="17"/>
      <c r="BT225" s="14"/>
      <c r="BU225" s="15"/>
      <c r="BV225" s="563"/>
      <c r="BW225" s="17"/>
      <c r="BX225" s="18"/>
      <c r="BY225" s="19"/>
      <c r="BZ225" s="20"/>
      <c r="CA225" s="564"/>
      <c r="CB225" s="21"/>
      <c r="CC225" s="93"/>
      <c r="CD225" s="565"/>
      <c r="CE225" s="566"/>
      <c r="CF225" s="24"/>
      <c r="CG225" s="74"/>
      <c r="CH225" s="74"/>
      <c r="CI225" s="74"/>
      <c r="CJ225" s="74"/>
      <c r="CK225" s="74"/>
      <c r="CL225" s="74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31"/>
      <c r="DB225" s="31"/>
      <c r="DC225" s="31"/>
      <c r="DD225" s="31"/>
      <c r="DE225" s="31"/>
      <c r="DF225" s="108">
        <f t="shared" si="133"/>
        <v>0</v>
      </c>
      <c r="DG225" s="134">
        <f t="shared" si="134"/>
        <v>0</v>
      </c>
      <c r="DI225" s="826"/>
      <c r="DJ225" s="788"/>
    </row>
    <row r="226" spans="1:114" s="783" customFormat="1" ht="24" hidden="1">
      <c r="A226" s="165"/>
      <c r="B226" s="32" t="s">
        <v>214</v>
      </c>
      <c r="C226" s="837" t="s">
        <v>54</v>
      </c>
      <c r="D226" s="31"/>
      <c r="E226" s="31"/>
      <c r="F226" s="31"/>
      <c r="G226" s="31"/>
      <c r="H226" s="33"/>
      <c r="I226" s="33"/>
      <c r="J226" s="33"/>
      <c r="K226" s="33"/>
      <c r="L226" s="98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99"/>
      <c r="Z226" s="98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100"/>
      <c r="AL226" s="98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100"/>
      <c r="AX226" s="101"/>
      <c r="AY226" s="31">
        <v>39.6</v>
      </c>
      <c r="AZ226" s="102"/>
      <c r="BA226" s="62">
        <v>6.8</v>
      </c>
      <c r="BB226" s="103"/>
      <c r="BC226" s="62">
        <v>7.06</v>
      </c>
      <c r="BD226" s="103"/>
      <c r="BE226" s="110"/>
      <c r="BF226" s="102"/>
      <c r="BG226" s="103"/>
      <c r="BH226" s="103"/>
      <c r="BI226" s="104"/>
      <c r="BJ226" s="417"/>
      <c r="BK226" s="418"/>
      <c r="BL226" s="36"/>
      <c r="BM226" s="2"/>
      <c r="BN226" s="103"/>
      <c r="BO226" s="455"/>
      <c r="BP226" s="14"/>
      <c r="BQ226" s="15"/>
      <c r="BR226" s="563"/>
      <c r="BS226" s="17"/>
      <c r="BT226" s="14"/>
      <c r="BU226" s="15"/>
      <c r="BV226" s="563"/>
      <c r="BW226" s="17"/>
      <c r="BX226" s="18"/>
      <c r="BY226" s="19"/>
      <c r="BZ226" s="20"/>
      <c r="CA226" s="564"/>
      <c r="CB226" s="21"/>
      <c r="CC226" s="93"/>
      <c r="CD226" s="565"/>
      <c r="CE226" s="566"/>
      <c r="CF226" s="24"/>
      <c r="CG226" s="74"/>
      <c r="CH226" s="74"/>
      <c r="CI226" s="74"/>
      <c r="CJ226" s="74"/>
      <c r="CK226" s="74"/>
      <c r="CL226" s="74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31"/>
      <c r="DB226" s="31"/>
      <c r="DC226" s="31"/>
      <c r="DD226" s="31"/>
      <c r="DE226" s="31"/>
      <c r="DF226" s="108">
        <f t="shared" si="133"/>
        <v>0</v>
      </c>
      <c r="DG226" s="134">
        <f t="shared" si="134"/>
        <v>0</v>
      </c>
      <c r="DI226" s="826"/>
      <c r="DJ226" s="788"/>
    </row>
    <row r="227" spans="1:114" s="783" customFormat="1" hidden="1">
      <c r="A227" s="165"/>
      <c r="B227" s="32" t="s">
        <v>167</v>
      </c>
      <c r="C227" s="837" t="s">
        <v>54</v>
      </c>
      <c r="D227" s="31"/>
      <c r="E227" s="31"/>
      <c r="F227" s="31"/>
      <c r="G227" s="31"/>
      <c r="H227" s="33"/>
      <c r="I227" s="33"/>
      <c r="J227" s="33"/>
      <c r="K227" s="33"/>
      <c r="L227" s="98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99"/>
      <c r="Z227" s="98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100"/>
      <c r="AL227" s="98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100"/>
      <c r="AX227" s="101"/>
      <c r="AY227" s="31">
        <v>39</v>
      </c>
      <c r="AZ227" s="102"/>
      <c r="BA227" s="62">
        <v>58.63</v>
      </c>
      <c r="BB227" s="103"/>
      <c r="BC227" s="62">
        <v>14.17</v>
      </c>
      <c r="BD227" s="103"/>
      <c r="BE227" s="110">
        <v>2.93</v>
      </c>
      <c r="BF227" s="102"/>
      <c r="BG227" s="103"/>
      <c r="BH227" s="103"/>
      <c r="BI227" s="104"/>
      <c r="BJ227" s="417"/>
      <c r="BK227" s="418"/>
      <c r="BL227" s="36"/>
      <c r="BM227" s="102"/>
      <c r="BN227" s="103"/>
      <c r="BO227" s="455"/>
      <c r="BP227" s="567"/>
      <c r="BQ227" s="568"/>
      <c r="BR227" s="569"/>
      <c r="BS227" s="570"/>
      <c r="BT227" s="567"/>
      <c r="BU227" s="568"/>
      <c r="BV227" s="569"/>
      <c r="BW227" s="570"/>
      <c r="BX227" s="422"/>
      <c r="BY227" s="571"/>
      <c r="BZ227" s="572"/>
      <c r="CA227" s="573"/>
      <c r="CB227" s="574"/>
      <c r="CC227" s="93"/>
      <c r="CD227" s="565"/>
      <c r="CE227" s="566"/>
      <c r="CF227" s="575"/>
      <c r="CG227" s="576"/>
      <c r="CH227" s="576"/>
      <c r="CI227" s="576"/>
      <c r="CJ227" s="576"/>
      <c r="CK227" s="576"/>
      <c r="CL227" s="576"/>
      <c r="CM227" s="577"/>
      <c r="CN227" s="577"/>
      <c r="CO227" s="577"/>
      <c r="CP227" s="577"/>
      <c r="CQ227" s="577"/>
      <c r="CR227" s="577"/>
      <c r="CS227" s="577"/>
      <c r="CT227" s="577"/>
      <c r="CU227" s="577"/>
      <c r="CV227" s="577"/>
      <c r="CW227" s="577"/>
      <c r="CX227" s="577"/>
      <c r="CY227" s="577"/>
      <c r="CZ227" s="577"/>
      <c r="DA227" s="31"/>
      <c r="DB227" s="31"/>
      <c r="DC227" s="31"/>
      <c r="DD227" s="31"/>
      <c r="DE227" s="31"/>
      <c r="DF227" s="108">
        <f t="shared" si="133"/>
        <v>0</v>
      </c>
      <c r="DG227" s="134">
        <f t="shared" si="134"/>
        <v>0</v>
      </c>
      <c r="DI227" s="826"/>
      <c r="DJ227" s="788"/>
    </row>
    <row r="228" spans="1:114" s="783" customFormat="1" hidden="1">
      <c r="A228" s="232" t="s">
        <v>325</v>
      </c>
      <c r="B228" s="166" t="s">
        <v>15</v>
      </c>
      <c r="C228" s="834" t="s">
        <v>54</v>
      </c>
      <c r="D228" s="108"/>
      <c r="E228" s="108"/>
      <c r="F228" s="108"/>
      <c r="G228" s="108"/>
      <c r="H228" s="234">
        <f t="shared" ref="H228:O228" si="135">H229+H232</f>
        <v>0</v>
      </c>
      <c r="I228" s="234">
        <f t="shared" si="135"/>
        <v>0</v>
      </c>
      <c r="J228" s="234">
        <f t="shared" si="135"/>
        <v>0</v>
      </c>
      <c r="K228" s="234">
        <f t="shared" si="135"/>
        <v>0</v>
      </c>
      <c r="L228" s="235">
        <f t="shared" si="135"/>
        <v>0</v>
      </c>
      <c r="M228" s="235">
        <f t="shared" si="135"/>
        <v>34069.527499999997</v>
      </c>
      <c r="N228" s="235">
        <f t="shared" si="135"/>
        <v>0</v>
      </c>
      <c r="O228" s="235">
        <f t="shared" si="135"/>
        <v>0</v>
      </c>
      <c r="P228" s="235"/>
      <c r="Q228" s="235"/>
      <c r="R228" s="235">
        <v>136.47999999999999</v>
      </c>
      <c r="S228" s="235">
        <f>S229+S232</f>
        <v>0</v>
      </c>
      <c r="T228" s="235">
        <f>T229+T232</f>
        <v>0</v>
      </c>
      <c r="U228" s="235">
        <f>U229+U232</f>
        <v>0</v>
      </c>
      <c r="V228" s="235"/>
      <c r="W228" s="235"/>
      <c r="X228" s="235">
        <f>O228-N228</f>
        <v>0</v>
      </c>
      <c r="Y228" s="236" t="e">
        <f>O228/N228</f>
        <v>#DIV/0!</v>
      </c>
      <c r="Z228" s="235">
        <f t="shared" ref="Z228:AG228" si="136">Z229+Z232</f>
        <v>0</v>
      </c>
      <c r="AA228" s="235">
        <f t="shared" si="136"/>
        <v>25301.008181818179</v>
      </c>
      <c r="AB228" s="235">
        <f t="shared" si="136"/>
        <v>0</v>
      </c>
      <c r="AC228" s="235">
        <f t="shared" si="136"/>
        <v>0</v>
      </c>
      <c r="AD228" s="235">
        <f t="shared" si="136"/>
        <v>0</v>
      </c>
      <c r="AE228" s="235">
        <f t="shared" si="136"/>
        <v>0</v>
      </c>
      <c r="AF228" s="235">
        <f t="shared" si="136"/>
        <v>0</v>
      </c>
      <c r="AG228" s="235">
        <f t="shared" si="136"/>
        <v>0</v>
      </c>
      <c r="AH228" s="235"/>
      <c r="AI228" s="235"/>
      <c r="AJ228" s="235">
        <f>AC228-AB228</f>
        <v>0</v>
      </c>
      <c r="AK228" s="237" t="e">
        <f>AC228/AB228</f>
        <v>#DIV/0!</v>
      </c>
      <c r="AL228" s="235">
        <f t="shared" ref="AL228:AS228" si="137">AL229+AL232</f>
        <v>0</v>
      </c>
      <c r="AM228" s="235">
        <f t="shared" si="137"/>
        <v>25301.008181818179</v>
      </c>
      <c r="AN228" s="235">
        <f t="shared" si="137"/>
        <v>0</v>
      </c>
      <c r="AO228" s="235">
        <f t="shared" si="137"/>
        <v>0</v>
      </c>
      <c r="AP228" s="235">
        <f t="shared" si="137"/>
        <v>0</v>
      </c>
      <c r="AQ228" s="235">
        <f t="shared" si="137"/>
        <v>0</v>
      </c>
      <c r="AR228" s="235">
        <f t="shared" si="137"/>
        <v>0</v>
      </c>
      <c r="AS228" s="235">
        <f t="shared" si="137"/>
        <v>0</v>
      </c>
      <c r="AT228" s="235"/>
      <c r="AU228" s="235"/>
      <c r="AV228" s="235">
        <f>AO228-AN228</f>
        <v>0</v>
      </c>
      <c r="AW228" s="237" t="e">
        <f>AO228/AN228</f>
        <v>#DIV/0!</v>
      </c>
      <c r="AX228" s="101">
        <f>G228/2</f>
        <v>0</v>
      </c>
      <c r="AY228" s="101">
        <f>SUM(AY229:AY231)</f>
        <v>10.66</v>
      </c>
      <c r="AZ228" s="238">
        <f>AZ229+AZ232</f>
        <v>0</v>
      </c>
      <c r="BA228" s="239">
        <f>SUM(BA229:BA231)</f>
        <v>231.66</v>
      </c>
      <c r="BB228" s="239">
        <f t="shared" ref="BB228:BG228" si="138">SUM(BB229:BB231)</f>
        <v>0</v>
      </c>
      <c r="BC228" s="239">
        <f t="shared" si="138"/>
        <v>75.7</v>
      </c>
      <c r="BD228" s="239">
        <f t="shared" si="138"/>
        <v>0</v>
      </c>
      <c r="BE228" s="240">
        <f t="shared" si="138"/>
        <v>20.34</v>
      </c>
      <c r="BF228" s="238">
        <f t="shared" si="138"/>
        <v>16.25</v>
      </c>
      <c r="BG228" s="239">
        <f t="shared" si="138"/>
        <v>0</v>
      </c>
      <c r="BH228" s="239"/>
      <c r="BI228" s="240"/>
      <c r="BJ228" s="417">
        <f>BA228-AZ228</f>
        <v>231.66</v>
      </c>
      <c r="BK228" s="545" t="e">
        <f>BA228/AZ228</f>
        <v>#DIV/0!</v>
      </c>
      <c r="BL228" s="546"/>
      <c r="BM228" s="238">
        <f>BM229+BM232</f>
        <v>25301.003181818181</v>
      </c>
      <c r="BN228" s="239"/>
      <c r="BO228" s="455"/>
      <c r="BP228" s="547"/>
      <c r="BQ228" s="548"/>
      <c r="BR228" s="549"/>
      <c r="BS228" s="550"/>
      <c r="BT228" s="547"/>
      <c r="BU228" s="548"/>
      <c r="BV228" s="549"/>
      <c r="BW228" s="550"/>
      <c r="BX228" s="551">
        <f>BX229</f>
        <v>0</v>
      </c>
      <c r="BY228" s="552">
        <f>F228</f>
        <v>0</v>
      </c>
      <c r="BZ228" s="553">
        <f>M228+BM228+BQ228+BU228</f>
        <v>59370.530681818178</v>
      </c>
      <c r="CA228" s="548">
        <f>BZ228-BY228</f>
        <v>59370.530681818178</v>
      </c>
      <c r="CB228" s="554" t="e">
        <f>BZ228/BY228</f>
        <v>#DIV/0!</v>
      </c>
      <c r="CC228" s="309">
        <f>BZ228-E228</f>
        <v>59370.530681818178</v>
      </c>
      <c r="CD228" s="555">
        <f>CD229+CD232</f>
        <v>1.04</v>
      </c>
      <c r="CE228" s="556">
        <f>CE229+CE232</f>
        <v>0</v>
      </c>
      <c r="CF228" s="557"/>
      <c r="CG228" s="558"/>
      <c r="CH228" s="558"/>
      <c r="CI228" s="558"/>
      <c r="CJ228" s="558"/>
      <c r="CK228" s="558"/>
      <c r="CL228" s="558"/>
      <c r="CM228" s="559"/>
      <c r="CN228" s="559"/>
      <c r="CO228" s="559"/>
      <c r="CP228" s="559"/>
      <c r="CQ228" s="559"/>
      <c r="CR228" s="559"/>
      <c r="CS228" s="559"/>
      <c r="CT228" s="559"/>
      <c r="CU228" s="559"/>
      <c r="CV228" s="559"/>
      <c r="CW228" s="559"/>
      <c r="CX228" s="559"/>
      <c r="CY228" s="559"/>
      <c r="CZ228" s="559"/>
      <c r="DA228" s="101"/>
      <c r="DB228" s="101"/>
      <c r="DC228" s="108"/>
      <c r="DD228" s="108"/>
      <c r="DE228" s="108"/>
      <c r="DF228" s="108">
        <f t="shared" si="133"/>
        <v>0</v>
      </c>
      <c r="DG228" s="134">
        <f t="shared" si="134"/>
        <v>0</v>
      </c>
      <c r="DI228" s="826"/>
      <c r="DJ228" s="788"/>
    </row>
    <row r="229" spans="1:114" s="783" customFormat="1" hidden="1">
      <c r="A229" s="177"/>
      <c r="B229" s="187" t="s">
        <v>16</v>
      </c>
      <c r="C229" s="837" t="s">
        <v>54</v>
      </c>
      <c r="D229" s="31"/>
      <c r="E229" s="31"/>
      <c r="F229" s="31"/>
      <c r="G229" s="31"/>
      <c r="H229" s="31"/>
      <c r="I229" s="31"/>
      <c r="J229" s="31"/>
      <c r="K229" s="31"/>
      <c r="L229" s="105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106"/>
      <c r="Z229" s="105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107"/>
      <c r="AL229" s="105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107"/>
      <c r="AX229" s="108"/>
      <c r="AY229" s="31">
        <v>8.02</v>
      </c>
      <c r="AZ229" s="109"/>
      <c r="BA229" s="62">
        <v>7.24</v>
      </c>
      <c r="BB229" s="62"/>
      <c r="BC229" s="62">
        <v>7.08</v>
      </c>
      <c r="BD229" s="62"/>
      <c r="BE229" s="110">
        <v>0.61</v>
      </c>
      <c r="BF229" s="109">
        <v>1.42</v>
      </c>
      <c r="BG229" s="62"/>
      <c r="BH229" s="62"/>
      <c r="BI229" s="110"/>
      <c r="BJ229" s="426"/>
      <c r="BK229" s="427"/>
      <c r="BL229" s="560"/>
      <c r="BM229" s="2"/>
      <c r="BN229" s="12"/>
      <c r="BO229" s="585"/>
      <c r="BP229" s="14"/>
      <c r="BQ229" s="15"/>
      <c r="BR229" s="563"/>
      <c r="BS229" s="17"/>
      <c r="BT229" s="14"/>
      <c r="BU229" s="15"/>
      <c r="BV229" s="563"/>
      <c r="BW229" s="17"/>
      <c r="BX229" s="18"/>
      <c r="BY229" s="19"/>
      <c r="BZ229" s="20"/>
      <c r="CA229" s="564"/>
      <c r="CB229" s="21"/>
      <c r="CC229" s="22"/>
      <c r="CD229" s="598"/>
      <c r="CE229" s="599"/>
      <c r="CF229" s="24"/>
      <c r="CG229" s="74"/>
      <c r="CH229" s="74"/>
      <c r="CI229" s="74"/>
      <c r="CJ229" s="74"/>
      <c r="CK229" s="74"/>
      <c r="CL229" s="74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31">
        <v>17.329999999999998</v>
      </c>
      <c r="DB229" s="31"/>
      <c r="DC229" s="31">
        <v>16</v>
      </c>
      <c r="DD229" s="31">
        <v>26.83</v>
      </c>
      <c r="DE229" s="31">
        <v>16</v>
      </c>
      <c r="DF229" s="108">
        <f t="shared" si="133"/>
        <v>8</v>
      </c>
      <c r="DG229" s="134">
        <f t="shared" si="134"/>
        <v>8</v>
      </c>
      <c r="DI229" s="826"/>
      <c r="DJ229" s="788"/>
    </row>
    <row r="230" spans="1:114" s="783" customFormat="1" hidden="1">
      <c r="A230" s="177"/>
      <c r="B230" s="187" t="s">
        <v>317</v>
      </c>
      <c r="C230" s="837" t="s">
        <v>54</v>
      </c>
      <c r="D230" s="31"/>
      <c r="E230" s="31"/>
      <c r="F230" s="31"/>
      <c r="G230" s="31"/>
      <c r="H230" s="31"/>
      <c r="I230" s="31"/>
      <c r="J230" s="31"/>
      <c r="K230" s="31"/>
      <c r="L230" s="105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106"/>
      <c r="Z230" s="105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107"/>
      <c r="AL230" s="105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107"/>
      <c r="AX230" s="108"/>
      <c r="AY230" s="31">
        <v>0.34</v>
      </c>
      <c r="AZ230" s="109"/>
      <c r="BA230" s="62">
        <v>49.14</v>
      </c>
      <c r="BB230" s="62"/>
      <c r="BC230" s="62">
        <v>15.31</v>
      </c>
      <c r="BD230" s="62"/>
      <c r="BE230" s="110">
        <v>5.41</v>
      </c>
      <c r="BF230" s="109">
        <v>2.41</v>
      </c>
      <c r="BG230" s="62"/>
      <c r="BH230" s="62"/>
      <c r="BI230" s="110"/>
      <c r="BJ230" s="426"/>
      <c r="BK230" s="427"/>
      <c r="BL230" s="560"/>
      <c r="BM230" s="2"/>
      <c r="BN230" s="12"/>
      <c r="BO230" s="585"/>
      <c r="BP230" s="14"/>
      <c r="BQ230" s="15"/>
      <c r="BR230" s="563"/>
      <c r="BS230" s="17"/>
      <c r="BT230" s="14"/>
      <c r="BU230" s="15"/>
      <c r="BV230" s="563"/>
      <c r="BW230" s="17"/>
      <c r="BX230" s="18"/>
      <c r="BY230" s="19"/>
      <c r="BZ230" s="20"/>
      <c r="CA230" s="564"/>
      <c r="CB230" s="21"/>
      <c r="CC230" s="22"/>
      <c r="CD230" s="598"/>
      <c r="CE230" s="599"/>
      <c r="CF230" s="24"/>
      <c r="CG230" s="74"/>
      <c r="CH230" s="74"/>
      <c r="CI230" s="74"/>
      <c r="CJ230" s="74"/>
      <c r="CK230" s="74"/>
      <c r="CL230" s="74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31">
        <v>76.599999999999994</v>
      </c>
      <c r="DB230" s="31"/>
      <c r="DC230" s="31">
        <v>1.5</v>
      </c>
      <c r="DD230" s="31">
        <v>13.38</v>
      </c>
      <c r="DE230" s="31">
        <v>1.5</v>
      </c>
      <c r="DF230" s="108">
        <f t="shared" si="133"/>
        <v>0.75</v>
      </c>
      <c r="DG230" s="134">
        <f t="shared" si="134"/>
        <v>0.75</v>
      </c>
      <c r="DI230" s="826"/>
      <c r="DJ230" s="788"/>
    </row>
    <row r="231" spans="1:114" s="783" customFormat="1" hidden="1">
      <c r="A231" s="177"/>
      <c r="B231" s="187" t="s">
        <v>18</v>
      </c>
      <c r="C231" s="837" t="s">
        <v>54</v>
      </c>
      <c r="D231" s="31"/>
      <c r="E231" s="31"/>
      <c r="F231" s="31"/>
      <c r="G231" s="31"/>
      <c r="H231" s="31"/>
      <c r="I231" s="31"/>
      <c r="J231" s="31"/>
      <c r="K231" s="31"/>
      <c r="L231" s="105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106"/>
      <c r="Z231" s="105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107"/>
      <c r="AL231" s="105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107"/>
      <c r="AX231" s="108"/>
      <c r="AY231" s="31">
        <v>2.2999999999999998</v>
      </c>
      <c r="AZ231" s="109"/>
      <c r="BA231" s="62">
        <v>175.28</v>
      </c>
      <c r="BB231" s="62"/>
      <c r="BC231" s="62">
        <v>53.31</v>
      </c>
      <c r="BD231" s="62"/>
      <c r="BE231" s="110">
        <v>14.32</v>
      </c>
      <c r="BF231" s="109">
        <v>12.42</v>
      </c>
      <c r="BG231" s="62"/>
      <c r="BH231" s="62"/>
      <c r="BI231" s="110"/>
      <c r="BJ231" s="426"/>
      <c r="BK231" s="427"/>
      <c r="BL231" s="560"/>
      <c r="BM231" s="2"/>
      <c r="BN231" s="12"/>
      <c r="BO231" s="585"/>
      <c r="BP231" s="14"/>
      <c r="BQ231" s="15"/>
      <c r="BR231" s="563"/>
      <c r="BS231" s="17"/>
      <c r="BT231" s="14"/>
      <c r="BU231" s="15"/>
      <c r="BV231" s="563"/>
      <c r="BW231" s="17"/>
      <c r="BX231" s="18"/>
      <c r="BY231" s="19"/>
      <c r="BZ231" s="20"/>
      <c r="CA231" s="564"/>
      <c r="CB231" s="21"/>
      <c r="CC231" s="22"/>
      <c r="CD231" s="598"/>
      <c r="CE231" s="599"/>
      <c r="CF231" s="24"/>
      <c r="CG231" s="74"/>
      <c r="CH231" s="74"/>
      <c r="CI231" s="74"/>
      <c r="CJ231" s="74"/>
      <c r="CK231" s="74"/>
      <c r="CL231" s="74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31">
        <v>270.64999999999998</v>
      </c>
      <c r="DB231" s="31"/>
      <c r="DC231" s="31">
        <v>5</v>
      </c>
      <c r="DD231" s="31"/>
      <c r="DE231" s="31">
        <v>5</v>
      </c>
      <c r="DF231" s="108">
        <f t="shared" si="133"/>
        <v>2.5</v>
      </c>
      <c r="DG231" s="134">
        <f t="shared" si="134"/>
        <v>2.5</v>
      </c>
      <c r="DI231" s="826"/>
      <c r="DJ231" s="788"/>
    </row>
    <row r="232" spans="1:114" s="783" customFormat="1" hidden="1">
      <c r="A232" s="247" t="s">
        <v>324</v>
      </c>
      <c r="B232" s="248" t="s">
        <v>22</v>
      </c>
      <c r="C232" s="838" t="s">
        <v>54</v>
      </c>
      <c r="D232" s="108">
        <f>SUM(D233)</f>
        <v>259.38</v>
      </c>
      <c r="E232" s="108">
        <f>SUM(E233)</f>
        <v>214.35</v>
      </c>
      <c r="F232" s="108">
        <v>214.35</v>
      </c>
      <c r="G232" s="108">
        <v>214.35</v>
      </c>
      <c r="H232" s="251">
        <f t="shared" ref="H232:O232" si="139">H233+H269</f>
        <v>0</v>
      </c>
      <c r="I232" s="251">
        <f t="shared" si="139"/>
        <v>0</v>
      </c>
      <c r="J232" s="251">
        <f t="shared" si="139"/>
        <v>0</v>
      </c>
      <c r="K232" s="251">
        <f t="shared" si="139"/>
        <v>0</v>
      </c>
      <c r="L232" s="233">
        <f t="shared" si="139"/>
        <v>0</v>
      </c>
      <c r="M232" s="233">
        <f t="shared" si="139"/>
        <v>34069.527499999997</v>
      </c>
      <c r="N232" s="233">
        <f t="shared" si="139"/>
        <v>0</v>
      </c>
      <c r="O232" s="233">
        <f t="shared" si="139"/>
        <v>0</v>
      </c>
      <c r="P232" s="233"/>
      <c r="Q232" s="233"/>
      <c r="R232" s="233">
        <v>136.47999999999999</v>
      </c>
      <c r="S232" s="233">
        <f>S233+S269</f>
        <v>0</v>
      </c>
      <c r="T232" s="233">
        <f>T233+T269</f>
        <v>0</v>
      </c>
      <c r="U232" s="233">
        <f>U233+U269</f>
        <v>0</v>
      </c>
      <c r="V232" s="233"/>
      <c r="W232" s="233"/>
      <c r="X232" s="233">
        <f>O232-N232</f>
        <v>0</v>
      </c>
      <c r="Y232" s="252" t="e">
        <f>O232/N232</f>
        <v>#DIV/0!</v>
      </c>
      <c r="Z232" s="233">
        <f t="shared" ref="Z232:AG232" si="140">Z233+Z269</f>
        <v>0</v>
      </c>
      <c r="AA232" s="233">
        <f t="shared" si="140"/>
        <v>25301.008181818179</v>
      </c>
      <c r="AB232" s="233">
        <f t="shared" si="140"/>
        <v>0</v>
      </c>
      <c r="AC232" s="233">
        <f t="shared" si="140"/>
        <v>0</v>
      </c>
      <c r="AD232" s="233">
        <f t="shared" si="140"/>
        <v>0</v>
      </c>
      <c r="AE232" s="233">
        <f t="shared" si="140"/>
        <v>0</v>
      </c>
      <c r="AF232" s="233">
        <f t="shared" si="140"/>
        <v>0</v>
      </c>
      <c r="AG232" s="233">
        <f t="shared" si="140"/>
        <v>0</v>
      </c>
      <c r="AH232" s="233"/>
      <c r="AI232" s="233"/>
      <c r="AJ232" s="233">
        <f>AC232-AB232</f>
        <v>0</v>
      </c>
      <c r="AK232" s="253" t="e">
        <f>AC232/AB232</f>
        <v>#DIV/0!</v>
      </c>
      <c r="AL232" s="233">
        <f t="shared" ref="AL232:AS232" si="141">AL233+AL269</f>
        <v>0</v>
      </c>
      <c r="AM232" s="233">
        <f t="shared" si="141"/>
        <v>25301.008181818179</v>
      </c>
      <c r="AN232" s="233">
        <f t="shared" si="141"/>
        <v>0</v>
      </c>
      <c r="AO232" s="233">
        <f t="shared" si="141"/>
        <v>0</v>
      </c>
      <c r="AP232" s="233">
        <f t="shared" si="141"/>
        <v>0</v>
      </c>
      <c r="AQ232" s="233">
        <f t="shared" si="141"/>
        <v>0</v>
      </c>
      <c r="AR232" s="233">
        <f t="shared" si="141"/>
        <v>0</v>
      </c>
      <c r="AS232" s="233">
        <f t="shared" si="141"/>
        <v>0</v>
      </c>
      <c r="AT232" s="233"/>
      <c r="AU232" s="233"/>
      <c r="AV232" s="233">
        <f>AO232-AN232</f>
        <v>0</v>
      </c>
      <c r="AW232" s="253" t="e">
        <f>AO232/AN232</f>
        <v>#DIV/0!</v>
      </c>
      <c r="AX232" s="233">
        <f>G232/2</f>
        <v>107.175</v>
      </c>
      <c r="AY232" s="233">
        <v>202.74</v>
      </c>
      <c r="AZ232" s="254">
        <f>AZ233+AZ269</f>
        <v>0</v>
      </c>
      <c r="BA232" s="255">
        <f>SUM(BA233)</f>
        <v>143.63999999999999</v>
      </c>
      <c r="BB232" s="255">
        <f t="shared" ref="BB232:BG232" si="142">SUM(BB233)</f>
        <v>0</v>
      </c>
      <c r="BC232" s="255">
        <f t="shared" si="142"/>
        <v>56.47</v>
      </c>
      <c r="BD232" s="255">
        <f t="shared" si="142"/>
        <v>0</v>
      </c>
      <c r="BE232" s="256">
        <f t="shared" si="142"/>
        <v>8</v>
      </c>
      <c r="BF232" s="254">
        <f t="shared" si="142"/>
        <v>4.2</v>
      </c>
      <c r="BG232" s="255">
        <f t="shared" si="142"/>
        <v>0</v>
      </c>
      <c r="BH232" s="255"/>
      <c r="BI232" s="256"/>
      <c r="BJ232" s="578">
        <f>BA232-AZ232</f>
        <v>143.63999999999999</v>
      </c>
      <c r="BK232" s="579" t="e">
        <f>BA232/AZ232</f>
        <v>#DIV/0!</v>
      </c>
      <c r="BL232" s="580"/>
      <c r="BM232" s="238">
        <f>BM233+BM269</f>
        <v>25301.003181818181</v>
      </c>
      <c r="BN232" s="239"/>
      <c r="BO232" s="455"/>
      <c r="BP232" s="547"/>
      <c r="BQ232" s="548"/>
      <c r="BR232" s="549"/>
      <c r="BS232" s="550"/>
      <c r="BT232" s="547"/>
      <c r="BU232" s="548"/>
      <c r="BV232" s="549"/>
      <c r="BW232" s="550"/>
      <c r="BX232" s="551">
        <f>BX233</f>
        <v>0</v>
      </c>
      <c r="BY232" s="552">
        <f>F232</f>
        <v>214.35</v>
      </c>
      <c r="BZ232" s="553">
        <f>M232+BM232+BQ232+BU232</f>
        <v>59370.530681818178</v>
      </c>
      <c r="CA232" s="548">
        <f>BZ232-BY232</f>
        <v>59156.180681818179</v>
      </c>
      <c r="CB232" s="554">
        <f>BZ232/BY232</f>
        <v>276.97938270034138</v>
      </c>
      <c r="CC232" s="309">
        <f>BZ232-E232</f>
        <v>59156.180681818179</v>
      </c>
      <c r="CD232" s="555">
        <f>CD233+CD269</f>
        <v>1.04</v>
      </c>
      <c r="CE232" s="556">
        <f>CE233+CE269</f>
        <v>0</v>
      </c>
      <c r="CF232" s="557"/>
      <c r="CG232" s="558"/>
      <c r="CH232" s="558"/>
      <c r="CI232" s="558"/>
      <c r="CJ232" s="558"/>
      <c r="CK232" s="558"/>
      <c r="CL232" s="558"/>
      <c r="CM232" s="559"/>
      <c r="CN232" s="559"/>
      <c r="CO232" s="559"/>
      <c r="CP232" s="559"/>
      <c r="CQ232" s="559"/>
      <c r="CR232" s="559"/>
      <c r="CS232" s="559"/>
      <c r="CT232" s="559"/>
      <c r="CU232" s="559"/>
      <c r="CV232" s="559"/>
      <c r="CW232" s="559"/>
      <c r="CX232" s="559"/>
      <c r="CY232" s="559"/>
      <c r="CZ232" s="559"/>
      <c r="DA232" s="233">
        <f>SUM(DA233)</f>
        <v>214.35</v>
      </c>
      <c r="DB232" s="233">
        <f>SUM(DB233)</f>
        <v>214.35</v>
      </c>
      <c r="DC232" s="108"/>
      <c r="DD232" s="108"/>
      <c r="DE232" s="108"/>
      <c r="DF232" s="108"/>
      <c r="DG232" s="117"/>
      <c r="DI232" s="826"/>
      <c r="DJ232" s="788"/>
    </row>
    <row r="233" spans="1:114" s="783" customFormat="1" hidden="1">
      <c r="A233" s="177"/>
      <c r="B233" s="187" t="s">
        <v>42</v>
      </c>
      <c r="C233" s="837" t="s">
        <v>54</v>
      </c>
      <c r="D233" s="31">
        <v>259.38</v>
      </c>
      <c r="E233" s="31">
        <v>214.35</v>
      </c>
      <c r="F233" s="31">
        <v>214.35</v>
      </c>
      <c r="G233" s="31">
        <v>214.35</v>
      </c>
      <c r="H233" s="31"/>
      <c r="I233" s="31"/>
      <c r="J233" s="31"/>
      <c r="K233" s="31"/>
      <c r="L233" s="105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106"/>
      <c r="Z233" s="105"/>
      <c r="AA233" s="31">
        <v>0.51</v>
      </c>
      <c r="AB233" s="31"/>
      <c r="AC233" s="31"/>
      <c r="AD233" s="31"/>
      <c r="AE233" s="31"/>
      <c r="AF233" s="31"/>
      <c r="AG233" s="31"/>
      <c r="AH233" s="31"/>
      <c r="AI233" s="31"/>
      <c r="AJ233" s="31"/>
      <c r="AK233" s="107"/>
      <c r="AL233" s="105"/>
      <c r="AM233" s="31">
        <v>0.51</v>
      </c>
      <c r="AN233" s="31"/>
      <c r="AO233" s="31"/>
      <c r="AP233" s="31"/>
      <c r="AQ233" s="31"/>
      <c r="AR233" s="31"/>
      <c r="AS233" s="31"/>
      <c r="AT233" s="31"/>
      <c r="AU233" s="31"/>
      <c r="AV233" s="31"/>
      <c r="AW233" s="107"/>
      <c r="AX233" s="108"/>
      <c r="AY233" s="31">
        <v>202.74</v>
      </c>
      <c r="AZ233" s="109"/>
      <c r="BA233" s="62">
        <v>143.63999999999999</v>
      </c>
      <c r="BB233" s="62"/>
      <c r="BC233" s="62">
        <v>56.47</v>
      </c>
      <c r="BD233" s="62"/>
      <c r="BE233" s="110">
        <v>8</v>
      </c>
      <c r="BF233" s="109">
        <v>4.2</v>
      </c>
      <c r="BG233" s="62"/>
      <c r="BH233" s="62"/>
      <c r="BI233" s="110"/>
      <c r="BJ233" s="426">
        <f>BA233-AZ233</f>
        <v>143.63999999999999</v>
      </c>
      <c r="BK233" s="427"/>
      <c r="BL233" s="560"/>
      <c r="BM233" s="149">
        <v>0.505</v>
      </c>
      <c r="BN233" s="150"/>
      <c r="BO233" s="484"/>
      <c r="BP233" s="485"/>
      <c r="BQ233" s="483"/>
      <c r="BR233" s="486"/>
      <c r="BS233" s="487"/>
      <c r="BT233" s="485"/>
      <c r="BU233" s="483"/>
      <c r="BV233" s="486"/>
      <c r="BW233" s="487"/>
      <c r="BX233" s="440"/>
      <c r="BY233" s="488"/>
      <c r="BZ233" s="489">
        <f>M233+BM233+BQ233+BU233</f>
        <v>0.505</v>
      </c>
      <c r="CA233" s="490"/>
      <c r="CB233" s="491"/>
      <c r="CC233" s="246">
        <f>BZ233-E233</f>
        <v>-213.845</v>
      </c>
      <c r="CD233" s="581">
        <v>1.04</v>
      </c>
      <c r="CE233" s="582"/>
      <c r="CF233" s="492"/>
      <c r="CG233" s="74"/>
      <c r="CH233" s="74"/>
      <c r="CI233" s="74"/>
      <c r="CJ233" s="74"/>
      <c r="CK233" s="74"/>
      <c r="CL233" s="74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31">
        <v>214.35</v>
      </c>
      <c r="DB233" s="31">
        <v>214.35</v>
      </c>
      <c r="DC233" s="31">
        <v>214.35</v>
      </c>
      <c r="DD233" s="31">
        <v>229.37</v>
      </c>
      <c r="DE233" s="31">
        <f>250.35+11.26</f>
        <v>261.61</v>
      </c>
      <c r="DF233" s="108">
        <f t="shared" si="133"/>
        <v>130.80500000000001</v>
      </c>
      <c r="DG233" s="134">
        <f>DF233</f>
        <v>130.80500000000001</v>
      </c>
      <c r="DH233" s="835"/>
      <c r="DI233" s="826"/>
      <c r="DJ233" s="788"/>
    </row>
    <row r="234" spans="1:114" s="783" customFormat="1">
      <c r="A234" s="257" t="s">
        <v>269</v>
      </c>
      <c r="B234" s="258" t="s">
        <v>161</v>
      </c>
      <c r="C234" s="838" t="s">
        <v>54</v>
      </c>
      <c r="D234" s="108">
        <f>SUM(D235,D240,D245,D249,D255)</f>
        <v>2560.8000000000002</v>
      </c>
      <c r="E234" s="108">
        <f>SUM(E235,E240,E245,E249,E255)</f>
        <v>2356.88</v>
      </c>
      <c r="F234" s="108">
        <f>SUM(F235,F240,F245,F249,F255)</f>
        <v>2356.88</v>
      </c>
      <c r="G234" s="108">
        <f>SUM(G235,G240,G245,G249,G255)</f>
        <v>2356.88</v>
      </c>
      <c r="H234" s="108"/>
      <c r="I234" s="108"/>
      <c r="J234" s="108"/>
      <c r="K234" s="108"/>
      <c r="L234" s="260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261"/>
      <c r="Z234" s="260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262"/>
      <c r="AL234" s="260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262"/>
      <c r="AX234" s="108"/>
      <c r="AY234" s="108">
        <f>SUM(AY235,AY240,AY245,AY249,AY255)</f>
        <v>2311.06</v>
      </c>
      <c r="AZ234" s="263"/>
      <c r="BA234" s="264">
        <f>SUM(BA235,BA240,BA245,BA249,BA255)</f>
        <v>1456.0900000000001</v>
      </c>
      <c r="BB234" s="264">
        <f t="shared" ref="BB234:BG234" si="143">SUM(BB235,BB240,BB245,BB249,BB255)</f>
        <v>0</v>
      </c>
      <c r="BC234" s="264">
        <f t="shared" si="143"/>
        <v>591.67049999999995</v>
      </c>
      <c r="BD234" s="264">
        <f t="shared" si="143"/>
        <v>0</v>
      </c>
      <c r="BE234" s="265">
        <f t="shared" si="143"/>
        <v>164.45</v>
      </c>
      <c r="BF234" s="263">
        <f t="shared" si="143"/>
        <v>219.62</v>
      </c>
      <c r="BG234" s="264">
        <f t="shared" si="143"/>
        <v>40.007499999999993</v>
      </c>
      <c r="BH234" s="264"/>
      <c r="BI234" s="265"/>
      <c r="BJ234" s="426"/>
      <c r="BK234" s="583"/>
      <c r="BL234" s="584"/>
      <c r="BM234" s="254"/>
      <c r="BN234" s="255"/>
      <c r="BO234" s="585"/>
      <c r="BP234" s="586"/>
      <c r="BQ234" s="587"/>
      <c r="BR234" s="588"/>
      <c r="BS234" s="589"/>
      <c r="BT234" s="586"/>
      <c r="BU234" s="587"/>
      <c r="BV234" s="588"/>
      <c r="BW234" s="589"/>
      <c r="BX234" s="590"/>
      <c r="BY234" s="591"/>
      <c r="BZ234" s="592"/>
      <c r="CA234" s="593"/>
      <c r="CB234" s="594"/>
      <c r="CC234" s="250"/>
      <c r="CD234" s="595"/>
      <c r="CE234" s="596"/>
      <c r="CF234" s="597"/>
      <c r="CG234" s="558"/>
      <c r="CH234" s="558"/>
      <c r="CI234" s="558"/>
      <c r="CJ234" s="558"/>
      <c r="CK234" s="558"/>
      <c r="CL234" s="558"/>
      <c r="CM234" s="559"/>
      <c r="CN234" s="559"/>
      <c r="CO234" s="559"/>
      <c r="CP234" s="559"/>
      <c r="CQ234" s="559"/>
      <c r="CR234" s="559"/>
      <c r="CS234" s="559"/>
      <c r="CT234" s="559"/>
      <c r="CU234" s="559"/>
      <c r="CV234" s="559"/>
      <c r="CW234" s="559"/>
      <c r="CX234" s="559"/>
      <c r="CY234" s="559"/>
      <c r="CZ234" s="559"/>
      <c r="DA234" s="108">
        <f t="shared" ref="DA234:DG234" si="144">SUM(DA235,DA240,DA245,DA249,DA255)</f>
        <v>2356.8750800000003</v>
      </c>
      <c r="DB234" s="108">
        <f t="shared" si="144"/>
        <v>2356.8750799999998</v>
      </c>
      <c r="DC234" s="108">
        <f t="shared" si="144"/>
        <v>2471.703</v>
      </c>
      <c r="DD234" s="108">
        <f t="shared" si="144"/>
        <v>2404.9030000000002</v>
      </c>
      <c r="DE234" s="108">
        <f t="shared" si="144"/>
        <v>2510.0690800000002</v>
      </c>
      <c r="DF234" s="108">
        <f t="shared" si="144"/>
        <v>1255.03954</v>
      </c>
      <c r="DG234" s="108">
        <f t="shared" si="144"/>
        <v>1255.02954</v>
      </c>
      <c r="DI234" s="826"/>
      <c r="DJ234" s="788"/>
    </row>
    <row r="235" spans="1:114" s="783" customFormat="1">
      <c r="A235" s="257" t="s">
        <v>270</v>
      </c>
      <c r="B235" s="178" t="s">
        <v>2</v>
      </c>
      <c r="C235" s="838" t="s">
        <v>54</v>
      </c>
      <c r="D235" s="108">
        <f>SUM(D236,D239)</f>
        <v>869</v>
      </c>
      <c r="E235" s="108">
        <f>SUM(E236,E239)</f>
        <v>869</v>
      </c>
      <c r="F235" s="108">
        <f>SUM(F236,F239)</f>
        <v>869</v>
      </c>
      <c r="G235" s="108">
        <f>SUM(G236,G239)</f>
        <v>869</v>
      </c>
      <c r="H235" s="260">
        <f t="shared" ref="H235:U235" si="145">H236+H239</f>
        <v>0</v>
      </c>
      <c r="I235" s="260">
        <f t="shared" si="145"/>
        <v>0</v>
      </c>
      <c r="J235" s="260">
        <f t="shared" si="145"/>
        <v>0</v>
      </c>
      <c r="K235" s="260">
        <f t="shared" si="145"/>
        <v>0</v>
      </c>
      <c r="L235" s="108">
        <f t="shared" si="145"/>
        <v>0</v>
      </c>
      <c r="M235" s="108">
        <f t="shared" si="145"/>
        <v>0</v>
      </c>
      <c r="N235" s="108">
        <f t="shared" si="145"/>
        <v>0</v>
      </c>
      <c r="O235" s="108">
        <f t="shared" si="145"/>
        <v>0</v>
      </c>
      <c r="P235" s="108"/>
      <c r="Q235" s="108"/>
      <c r="R235" s="108">
        <v>136.47999999999999</v>
      </c>
      <c r="S235" s="108">
        <f t="shared" si="145"/>
        <v>0</v>
      </c>
      <c r="T235" s="108">
        <f t="shared" si="145"/>
        <v>0</v>
      </c>
      <c r="U235" s="108">
        <f t="shared" si="145"/>
        <v>0</v>
      </c>
      <c r="V235" s="108"/>
      <c r="W235" s="108"/>
      <c r="X235" s="108">
        <f>O235-N235</f>
        <v>0</v>
      </c>
      <c r="Y235" s="261" t="e">
        <f>O235/N235</f>
        <v>#DIV/0!</v>
      </c>
      <c r="Z235" s="108">
        <f t="shared" ref="Z235:AG235" si="146">Z236+Z239</f>
        <v>0</v>
      </c>
      <c r="AA235" s="108">
        <f t="shared" si="146"/>
        <v>0</v>
      </c>
      <c r="AB235" s="108">
        <f t="shared" si="146"/>
        <v>0</v>
      </c>
      <c r="AC235" s="108">
        <f t="shared" si="146"/>
        <v>0</v>
      </c>
      <c r="AD235" s="108">
        <f t="shared" si="146"/>
        <v>0</v>
      </c>
      <c r="AE235" s="108">
        <f t="shared" si="146"/>
        <v>0</v>
      </c>
      <c r="AF235" s="108">
        <f t="shared" si="146"/>
        <v>0</v>
      </c>
      <c r="AG235" s="108">
        <f t="shared" si="146"/>
        <v>0</v>
      </c>
      <c r="AH235" s="108"/>
      <c r="AI235" s="108"/>
      <c r="AJ235" s="108">
        <f>AC235-AB235</f>
        <v>0</v>
      </c>
      <c r="AK235" s="262" t="e">
        <f>AC235/AB235</f>
        <v>#DIV/0!</v>
      </c>
      <c r="AL235" s="108">
        <f t="shared" ref="AL235:AS235" si="147">AL236+AL239</f>
        <v>0</v>
      </c>
      <c r="AM235" s="108">
        <f t="shared" si="147"/>
        <v>0</v>
      </c>
      <c r="AN235" s="108">
        <f t="shared" si="147"/>
        <v>0</v>
      </c>
      <c r="AO235" s="108">
        <f t="shared" si="147"/>
        <v>0</v>
      </c>
      <c r="AP235" s="108">
        <f t="shared" si="147"/>
        <v>0</v>
      </c>
      <c r="AQ235" s="108">
        <f t="shared" si="147"/>
        <v>0</v>
      </c>
      <c r="AR235" s="108">
        <f t="shared" si="147"/>
        <v>0</v>
      </c>
      <c r="AS235" s="108">
        <f t="shared" si="147"/>
        <v>0</v>
      </c>
      <c r="AT235" s="108"/>
      <c r="AU235" s="108"/>
      <c r="AV235" s="108">
        <f>AO235-AN235</f>
        <v>0</v>
      </c>
      <c r="AW235" s="262" t="e">
        <f>AO235/AN235</f>
        <v>#DIV/0!</v>
      </c>
      <c r="AX235" s="108">
        <f>G235/2</f>
        <v>434.5</v>
      </c>
      <c r="AY235" s="108">
        <f t="shared" ref="AY235:BE235" si="148">AY236+AY239</f>
        <v>868.99999999999989</v>
      </c>
      <c r="AZ235" s="263">
        <f t="shared" si="148"/>
        <v>0</v>
      </c>
      <c r="BA235" s="264">
        <f>BA236+BA239</f>
        <v>589.61</v>
      </c>
      <c r="BB235" s="264">
        <f t="shared" si="148"/>
        <v>0</v>
      </c>
      <c r="BC235" s="264">
        <f t="shared" si="148"/>
        <v>263.37049999999999</v>
      </c>
      <c r="BD235" s="264">
        <f t="shared" si="148"/>
        <v>0</v>
      </c>
      <c r="BE235" s="265">
        <f t="shared" si="148"/>
        <v>16.02</v>
      </c>
      <c r="BF235" s="263">
        <f>BF236+BF239</f>
        <v>131.77000000000001</v>
      </c>
      <c r="BG235" s="264">
        <f>BG236+BG239</f>
        <v>39.097499999999997</v>
      </c>
      <c r="BH235" s="264"/>
      <c r="BI235" s="265"/>
      <c r="BJ235" s="426">
        <f>BA235-AZ235</f>
        <v>589.61</v>
      </c>
      <c r="BK235" s="583" t="e">
        <f>BA235/AZ235</f>
        <v>#DIV/0!</v>
      </c>
      <c r="BL235" s="584"/>
      <c r="BM235" s="238">
        <f>BM236+BM239</f>
        <v>0</v>
      </c>
      <c r="BN235" s="239"/>
      <c r="BO235" s="455"/>
      <c r="BP235" s="547"/>
      <c r="BQ235" s="548"/>
      <c r="BR235" s="549"/>
      <c r="BS235" s="550"/>
      <c r="BT235" s="547"/>
      <c r="BU235" s="548"/>
      <c r="BV235" s="549"/>
      <c r="BW235" s="550"/>
      <c r="BX235" s="551">
        <f>BX236</f>
        <v>0</v>
      </c>
      <c r="BY235" s="552">
        <f>F235</f>
        <v>869</v>
      </c>
      <c r="BZ235" s="553">
        <f>M235+BM235+BQ235+BU235</f>
        <v>0</v>
      </c>
      <c r="CA235" s="548">
        <f>BZ235-BY235</f>
        <v>-869</v>
      </c>
      <c r="CB235" s="554">
        <f>BZ235/BY235</f>
        <v>0</v>
      </c>
      <c r="CC235" s="309">
        <f>BZ235-E235</f>
        <v>-869</v>
      </c>
      <c r="CD235" s="555">
        <f>CD236+CD239</f>
        <v>0</v>
      </c>
      <c r="CE235" s="556">
        <f>CE236+CE239</f>
        <v>0</v>
      </c>
      <c r="CF235" s="557"/>
      <c r="CG235" s="558"/>
      <c r="CH235" s="558"/>
      <c r="CI235" s="558"/>
      <c r="CJ235" s="558"/>
      <c r="CK235" s="558"/>
      <c r="CL235" s="558"/>
      <c r="CM235" s="559"/>
      <c r="CN235" s="559"/>
      <c r="CO235" s="559"/>
      <c r="CP235" s="559"/>
      <c r="CQ235" s="559"/>
      <c r="CR235" s="559"/>
      <c r="CS235" s="559"/>
      <c r="CT235" s="559"/>
      <c r="CU235" s="559"/>
      <c r="CV235" s="559"/>
      <c r="CW235" s="559"/>
      <c r="CX235" s="559"/>
      <c r="CY235" s="559"/>
      <c r="CZ235" s="559"/>
      <c r="DA235" s="108">
        <f>DA236+DA239</f>
        <v>868.99908000000005</v>
      </c>
      <c r="DB235" s="108">
        <f>DB236+DB239</f>
        <v>868.99908000000005</v>
      </c>
      <c r="DC235" s="108">
        <f>SUM(DC236,DC239)</f>
        <v>869.00300000000004</v>
      </c>
      <c r="DD235" s="108">
        <f>SUM(DD236,DD239)</f>
        <v>869.00300000000004</v>
      </c>
      <c r="DE235" s="108">
        <f>SUM(DE236,DE239)</f>
        <v>868.99908000000005</v>
      </c>
      <c r="DF235" s="108">
        <f>SUM(DF236,DF239)</f>
        <v>434.49954000000002</v>
      </c>
      <c r="DG235" s="108">
        <f>SUM(DG236,DG239)</f>
        <v>434.49954000000002</v>
      </c>
      <c r="DI235" s="826"/>
      <c r="DJ235" s="788"/>
    </row>
    <row r="236" spans="1:114" s="783" customFormat="1">
      <c r="A236" s="165"/>
      <c r="B236" s="32" t="s">
        <v>3</v>
      </c>
      <c r="C236" s="836" t="s">
        <v>54</v>
      </c>
      <c r="D236" s="33">
        <v>722.36</v>
      </c>
      <c r="E236" s="33">
        <v>722.36</v>
      </c>
      <c r="F236" s="33">
        <v>722.36</v>
      </c>
      <c r="G236" s="33">
        <v>722.36</v>
      </c>
      <c r="H236" s="33"/>
      <c r="I236" s="33"/>
      <c r="J236" s="33"/>
      <c r="K236" s="33"/>
      <c r="L236" s="98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99"/>
      <c r="Z236" s="98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100"/>
      <c r="AL236" s="98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100"/>
      <c r="AX236" s="101"/>
      <c r="AY236" s="31">
        <f>588.13+219.36-17.82-67.31</f>
        <v>722.3599999999999</v>
      </c>
      <c r="AZ236" s="102"/>
      <c r="BA236" s="103">
        <v>490.11</v>
      </c>
      <c r="BB236" s="103"/>
      <c r="BC236" s="103">
        <v>218.93049999999999</v>
      </c>
      <c r="BD236" s="103"/>
      <c r="BE236" s="104">
        <v>13.32</v>
      </c>
      <c r="BF236" s="102">
        <v>109.39</v>
      </c>
      <c r="BG236" s="103">
        <v>32.5</v>
      </c>
      <c r="BH236" s="103"/>
      <c r="BI236" s="104"/>
      <c r="BJ236" s="417"/>
      <c r="BK236" s="418"/>
      <c r="BL236" s="36"/>
      <c r="BM236" s="2"/>
      <c r="BN236" s="12"/>
      <c r="BO236" s="585"/>
      <c r="BP236" s="14"/>
      <c r="BQ236" s="15"/>
      <c r="BR236" s="563"/>
      <c r="BS236" s="17"/>
      <c r="BT236" s="14"/>
      <c r="BU236" s="15"/>
      <c r="BV236" s="563"/>
      <c r="BW236" s="17"/>
      <c r="BX236" s="18"/>
      <c r="BY236" s="19"/>
      <c r="BZ236" s="20"/>
      <c r="CA236" s="564"/>
      <c r="CB236" s="21"/>
      <c r="CC236" s="22"/>
      <c r="CD236" s="598"/>
      <c r="CE236" s="599"/>
      <c r="CF236" s="24"/>
      <c r="CG236" s="74"/>
      <c r="CH236" s="74"/>
      <c r="CI236" s="74"/>
      <c r="CJ236" s="74"/>
      <c r="CK236" s="74"/>
      <c r="CL236" s="74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31">
        <v>722.36</v>
      </c>
      <c r="DB236" s="31">
        <v>722.36</v>
      </c>
      <c r="DC236" s="33">
        <v>722.36</v>
      </c>
      <c r="DD236" s="33">
        <v>722.36</v>
      </c>
      <c r="DE236" s="33">
        <v>722.36</v>
      </c>
      <c r="DF236" s="108">
        <f>DE236/2</f>
        <v>361.18</v>
      </c>
      <c r="DG236" s="134">
        <f>DF236</f>
        <v>361.18</v>
      </c>
      <c r="DI236" s="826"/>
      <c r="DJ236" s="788"/>
    </row>
    <row r="237" spans="1:114" s="783" customFormat="1">
      <c r="A237" s="177"/>
      <c r="B237" s="212" t="s">
        <v>38</v>
      </c>
      <c r="C237" s="837" t="s">
        <v>82</v>
      </c>
      <c r="D237" s="31">
        <v>3</v>
      </c>
      <c r="E237" s="31">
        <v>3</v>
      </c>
      <c r="F237" s="31">
        <v>3</v>
      </c>
      <c r="G237" s="31">
        <v>3</v>
      </c>
      <c r="H237" s="31"/>
      <c r="I237" s="31"/>
      <c r="J237" s="31"/>
      <c r="K237" s="31"/>
      <c r="L237" s="105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106"/>
      <c r="Z237" s="105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107"/>
      <c r="AL237" s="105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107"/>
      <c r="AX237" s="108"/>
      <c r="AY237" s="31">
        <v>3</v>
      </c>
      <c r="AZ237" s="109"/>
      <c r="BA237" s="62"/>
      <c r="BB237" s="62"/>
      <c r="BC237" s="62"/>
      <c r="BD237" s="62"/>
      <c r="BE237" s="110"/>
      <c r="BF237" s="109"/>
      <c r="BG237" s="62"/>
      <c r="BH237" s="62"/>
      <c r="BI237" s="110"/>
      <c r="BJ237" s="426"/>
      <c r="BK237" s="427"/>
      <c r="BL237" s="560"/>
      <c r="BM237" s="2"/>
      <c r="BN237" s="12"/>
      <c r="BO237" s="585"/>
      <c r="BP237" s="14"/>
      <c r="BQ237" s="15"/>
      <c r="BR237" s="563"/>
      <c r="BS237" s="17"/>
      <c r="BT237" s="14"/>
      <c r="BU237" s="15"/>
      <c r="BV237" s="563"/>
      <c r="BW237" s="17"/>
      <c r="BX237" s="18"/>
      <c r="BY237" s="19"/>
      <c r="BZ237" s="20"/>
      <c r="CA237" s="564"/>
      <c r="CB237" s="21"/>
      <c r="CC237" s="22"/>
      <c r="CD237" s="598"/>
      <c r="CE237" s="599"/>
      <c r="CF237" s="24"/>
      <c r="CG237" s="74"/>
      <c r="CH237" s="74"/>
      <c r="CI237" s="74"/>
      <c r="CJ237" s="74"/>
      <c r="CK237" s="74"/>
      <c r="CL237" s="74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31">
        <v>3</v>
      </c>
      <c r="DB237" s="31">
        <v>3</v>
      </c>
      <c r="DC237" s="31">
        <v>3</v>
      </c>
      <c r="DD237" s="31">
        <v>3</v>
      </c>
      <c r="DE237" s="31">
        <v>3</v>
      </c>
      <c r="DF237" s="31">
        <v>3</v>
      </c>
      <c r="DG237" s="134">
        <v>3</v>
      </c>
      <c r="DI237" s="826"/>
      <c r="DJ237" s="788"/>
    </row>
    <row r="238" spans="1:114" s="783" customFormat="1">
      <c r="A238" s="177"/>
      <c r="B238" s="212" t="s">
        <v>39</v>
      </c>
      <c r="C238" s="837" t="s">
        <v>83</v>
      </c>
      <c r="D238" s="31">
        <f>D236/D237/12*1000</f>
        <v>20065.555555555555</v>
      </c>
      <c r="E238" s="31">
        <f>E236/E237/12*1000</f>
        <v>20065.555555555555</v>
      </c>
      <c r="F238" s="31">
        <f>F236/F237/12*1000</f>
        <v>20065.555555555555</v>
      </c>
      <c r="G238" s="31">
        <f>G236/G237/12*1000</f>
        <v>20065.555555555555</v>
      </c>
      <c r="H238" s="31"/>
      <c r="I238" s="31"/>
      <c r="J238" s="31"/>
      <c r="K238" s="31"/>
      <c r="L238" s="105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106"/>
      <c r="Z238" s="105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107"/>
      <c r="AL238" s="105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107"/>
      <c r="AX238" s="108"/>
      <c r="AY238" s="31">
        <f>AY236/AY237/12*1000</f>
        <v>20065.555555555551</v>
      </c>
      <c r="AZ238" s="109"/>
      <c r="BA238" s="62"/>
      <c r="BB238" s="62"/>
      <c r="BC238" s="62"/>
      <c r="BD238" s="62"/>
      <c r="BE238" s="110"/>
      <c r="BF238" s="109"/>
      <c r="BG238" s="62"/>
      <c r="BH238" s="62"/>
      <c r="BI238" s="110"/>
      <c r="BJ238" s="426"/>
      <c r="BK238" s="427"/>
      <c r="BL238" s="560"/>
      <c r="BM238" s="2"/>
      <c r="BN238" s="12"/>
      <c r="BO238" s="585"/>
      <c r="BP238" s="14"/>
      <c r="BQ238" s="15"/>
      <c r="BR238" s="563"/>
      <c r="BS238" s="17"/>
      <c r="BT238" s="14"/>
      <c r="BU238" s="15"/>
      <c r="BV238" s="563"/>
      <c r="BW238" s="17"/>
      <c r="BX238" s="18"/>
      <c r="BY238" s="19"/>
      <c r="BZ238" s="20"/>
      <c r="CA238" s="564"/>
      <c r="CB238" s="21"/>
      <c r="CC238" s="22"/>
      <c r="CD238" s="598"/>
      <c r="CE238" s="599"/>
      <c r="CF238" s="24"/>
      <c r="CG238" s="74"/>
      <c r="CH238" s="74"/>
      <c r="CI238" s="74"/>
      <c r="CJ238" s="74"/>
      <c r="CK238" s="74"/>
      <c r="CL238" s="74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31">
        <f>DA236/DA237/12*1000</f>
        <v>20065.555555555555</v>
      </c>
      <c r="DB238" s="31">
        <f>DB236/DB237/12*1000</f>
        <v>20065.555555555555</v>
      </c>
      <c r="DC238" s="31">
        <f>DC236/DC237/12*1000</f>
        <v>20065.555555555555</v>
      </c>
      <c r="DD238" s="31">
        <f>DD236/DD237/12*1000</f>
        <v>20065.555555555555</v>
      </c>
      <c r="DE238" s="31">
        <f>DE236/DE237/12*1000</f>
        <v>20065.555555555555</v>
      </c>
      <c r="DF238" s="31">
        <f>DF236/DF237/6*1000</f>
        <v>20065.555555555555</v>
      </c>
      <c r="DG238" s="31">
        <f>DG236/DG237/6*1000</f>
        <v>20065.555555555555</v>
      </c>
      <c r="DI238" s="826"/>
      <c r="DJ238" s="788"/>
    </row>
    <row r="239" spans="1:114" s="783" customFormat="1" ht="12" customHeight="1">
      <c r="A239" s="177"/>
      <c r="B239" s="187" t="s">
        <v>92</v>
      </c>
      <c r="C239" s="837" t="s">
        <v>54</v>
      </c>
      <c r="D239" s="31">
        <v>146.63999999999999</v>
      </c>
      <c r="E239" s="31">
        <v>146.63999999999999</v>
      </c>
      <c r="F239" s="31">
        <v>146.63999999999999</v>
      </c>
      <c r="G239" s="31">
        <v>146.63999999999999</v>
      </c>
      <c r="H239" s="31"/>
      <c r="I239" s="31"/>
      <c r="J239" s="31"/>
      <c r="K239" s="31"/>
      <c r="L239" s="105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106"/>
      <c r="Z239" s="105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107"/>
      <c r="AL239" s="105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107"/>
      <c r="AX239" s="108"/>
      <c r="AY239" s="31">
        <v>146.63999999999999</v>
      </c>
      <c r="AZ239" s="109"/>
      <c r="BA239" s="62">
        <v>99.5</v>
      </c>
      <c r="BB239" s="62">
        <f>BB236*20.3/100</f>
        <v>0</v>
      </c>
      <c r="BC239" s="62">
        <v>44.44</v>
      </c>
      <c r="BD239" s="62">
        <f>BD236*20.3/100</f>
        <v>0</v>
      </c>
      <c r="BE239" s="110">
        <v>2.7</v>
      </c>
      <c r="BF239" s="109">
        <v>22.38</v>
      </c>
      <c r="BG239" s="62">
        <f>BG236*20.3/100</f>
        <v>6.5975000000000001</v>
      </c>
      <c r="BH239" s="62"/>
      <c r="BI239" s="110"/>
      <c r="BJ239" s="426"/>
      <c r="BK239" s="427"/>
      <c r="BL239" s="560"/>
      <c r="BM239" s="2"/>
      <c r="BN239" s="12"/>
      <c r="BO239" s="585"/>
      <c r="BP239" s="14"/>
      <c r="BQ239" s="15"/>
      <c r="BR239" s="563"/>
      <c r="BS239" s="17"/>
      <c r="BT239" s="14"/>
      <c r="BU239" s="15"/>
      <c r="BV239" s="563"/>
      <c r="BW239" s="17"/>
      <c r="BX239" s="18"/>
      <c r="BY239" s="19"/>
      <c r="BZ239" s="20"/>
      <c r="CA239" s="564"/>
      <c r="CB239" s="21"/>
      <c r="CC239" s="22"/>
      <c r="CD239" s="598"/>
      <c r="CE239" s="599"/>
      <c r="CF239" s="24"/>
      <c r="CG239" s="74"/>
      <c r="CH239" s="74"/>
      <c r="CI239" s="74"/>
      <c r="CJ239" s="74"/>
      <c r="CK239" s="74"/>
      <c r="CL239" s="74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31">
        <f>DA236*20.3/100</f>
        <v>146.63908000000001</v>
      </c>
      <c r="DB239" s="31">
        <f>DB236*20.3/100</f>
        <v>146.63908000000001</v>
      </c>
      <c r="DC239" s="31">
        <v>146.643</v>
      </c>
      <c r="DD239" s="31">
        <v>146.643</v>
      </c>
      <c r="DE239" s="31">
        <f>DE236*20.3/100</f>
        <v>146.63908000000001</v>
      </c>
      <c r="DF239" s="31">
        <f>DF236*20.3/100</f>
        <v>73.319540000000003</v>
      </c>
      <c r="DG239" s="31">
        <f>DG236*20.3/100</f>
        <v>73.319540000000003</v>
      </c>
      <c r="DI239" s="826"/>
      <c r="DJ239" s="788"/>
    </row>
    <row r="240" spans="1:114" s="783" customFormat="1" ht="24" hidden="1">
      <c r="A240" s="165" t="s">
        <v>271</v>
      </c>
      <c r="B240" s="166" t="s">
        <v>240</v>
      </c>
      <c r="C240" s="834" t="s">
        <v>54</v>
      </c>
      <c r="D240" s="108">
        <f>SUM(D241,D244)</f>
        <v>505.5</v>
      </c>
      <c r="E240" s="108">
        <f>SUM(E241,E244)</f>
        <v>367</v>
      </c>
      <c r="F240" s="108">
        <f>SUM(F241,F244)</f>
        <v>367</v>
      </c>
      <c r="G240" s="108">
        <f>SUM(G241,G244)</f>
        <v>367</v>
      </c>
      <c r="H240" s="233"/>
      <c r="I240" s="233"/>
      <c r="J240" s="233"/>
      <c r="K240" s="233"/>
      <c r="L240" s="251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52"/>
      <c r="Z240" s="251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233"/>
      <c r="AK240" s="253"/>
      <c r="AL240" s="251"/>
      <c r="AM240" s="233"/>
      <c r="AN240" s="233"/>
      <c r="AO240" s="233"/>
      <c r="AP240" s="233"/>
      <c r="AQ240" s="233"/>
      <c r="AR240" s="233"/>
      <c r="AS240" s="233"/>
      <c r="AT240" s="233"/>
      <c r="AU240" s="233"/>
      <c r="AV240" s="233"/>
      <c r="AW240" s="253"/>
      <c r="AX240" s="101"/>
      <c r="AY240" s="101">
        <f>SUM(AY241,AY244)</f>
        <v>367</v>
      </c>
      <c r="AZ240" s="238"/>
      <c r="BA240" s="239">
        <f>SUM(BA241:BA244)</f>
        <v>203.48000000000002</v>
      </c>
      <c r="BB240" s="239">
        <f t="shared" ref="BB240:BG240" si="149">SUM(BB241:BB244)</f>
        <v>0</v>
      </c>
      <c r="BC240" s="239">
        <f t="shared" si="149"/>
        <v>131.88</v>
      </c>
      <c r="BD240" s="239">
        <f t="shared" si="149"/>
        <v>0</v>
      </c>
      <c r="BE240" s="240">
        <f t="shared" si="149"/>
        <v>0</v>
      </c>
      <c r="BF240" s="238">
        <f t="shared" si="149"/>
        <v>0</v>
      </c>
      <c r="BG240" s="239">
        <f t="shared" si="149"/>
        <v>0</v>
      </c>
      <c r="BH240" s="239"/>
      <c r="BI240" s="240"/>
      <c r="BJ240" s="417"/>
      <c r="BK240" s="545"/>
      <c r="BL240" s="546"/>
      <c r="BM240" s="254"/>
      <c r="BN240" s="255"/>
      <c r="BO240" s="585"/>
      <c r="BP240" s="586"/>
      <c r="BQ240" s="587"/>
      <c r="BR240" s="588"/>
      <c r="BS240" s="589"/>
      <c r="BT240" s="586"/>
      <c r="BU240" s="587"/>
      <c r="BV240" s="588"/>
      <c r="BW240" s="589"/>
      <c r="BX240" s="590"/>
      <c r="BY240" s="591"/>
      <c r="BZ240" s="592"/>
      <c r="CA240" s="593"/>
      <c r="CB240" s="594"/>
      <c r="CC240" s="250"/>
      <c r="CD240" s="595"/>
      <c r="CE240" s="596"/>
      <c r="CF240" s="597"/>
      <c r="CG240" s="558"/>
      <c r="CH240" s="558"/>
      <c r="CI240" s="558"/>
      <c r="CJ240" s="558"/>
      <c r="CK240" s="558"/>
      <c r="CL240" s="558"/>
      <c r="CM240" s="559"/>
      <c r="CN240" s="559"/>
      <c r="CO240" s="559"/>
      <c r="CP240" s="559"/>
      <c r="CQ240" s="559"/>
      <c r="CR240" s="559"/>
      <c r="CS240" s="559"/>
      <c r="CT240" s="559"/>
      <c r="CU240" s="559"/>
      <c r="CV240" s="559"/>
      <c r="CW240" s="559"/>
      <c r="CX240" s="559"/>
      <c r="CY240" s="559"/>
      <c r="CZ240" s="559"/>
      <c r="DA240" s="101">
        <f>SUM(DA241,DA244)</f>
        <v>366.99599999999998</v>
      </c>
      <c r="DB240" s="101">
        <f>SUM(DB241,DB244)</f>
        <v>366.99599999999998</v>
      </c>
      <c r="DC240" s="108"/>
      <c r="DD240" s="108"/>
      <c r="DE240" s="108"/>
      <c r="DF240" s="108"/>
      <c r="DG240" s="117"/>
      <c r="DI240" s="826"/>
      <c r="DJ240" s="788"/>
    </row>
    <row r="241" spans="1:114" s="783" customFormat="1" hidden="1">
      <c r="A241" s="177"/>
      <c r="B241" s="187" t="s">
        <v>169</v>
      </c>
      <c r="C241" s="837" t="s">
        <v>54</v>
      </c>
      <c r="D241" s="31">
        <v>421.25</v>
      </c>
      <c r="E241" s="31">
        <v>305.83</v>
      </c>
      <c r="F241" s="31">
        <v>305.83</v>
      </c>
      <c r="G241" s="31">
        <v>305.83</v>
      </c>
      <c r="H241" s="78"/>
      <c r="I241" s="78"/>
      <c r="J241" s="78"/>
      <c r="K241" s="78"/>
      <c r="L241" s="111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112"/>
      <c r="Z241" s="111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113"/>
      <c r="AL241" s="111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113"/>
      <c r="AX241" s="101"/>
      <c r="AY241" s="31">
        <v>305.83</v>
      </c>
      <c r="AZ241" s="102"/>
      <c r="BA241" s="103">
        <v>162.93</v>
      </c>
      <c r="BB241" s="103"/>
      <c r="BC241" s="103">
        <v>116.54</v>
      </c>
      <c r="BD241" s="103"/>
      <c r="BE241" s="104"/>
      <c r="BF241" s="102"/>
      <c r="BG241" s="103"/>
      <c r="BH241" s="103"/>
      <c r="BI241" s="104"/>
      <c r="BJ241" s="417"/>
      <c r="BK241" s="418"/>
      <c r="BL241" s="36"/>
      <c r="BM241" s="2"/>
      <c r="BN241" s="12"/>
      <c r="BO241" s="585"/>
      <c r="BP241" s="14"/>
      <c r="BQ241" s="15"/>
      <c r="BR241" s="563"/>
      <c r="BS241" s="17"/>
      <c r="BT241" s="14"/>
      <c r="BU241" s="15"/>
      <c r="BV241" s="563"/>
      <c r="BW241" s="17"/>
      <c r="BX241" s="18"/>
      <c r="BY241" s="19"/>
      <c r="BZ241" s="20"/>
      <c r="CA241" s="564"/>
      <c r="CB241" s="21"/>
      <c r="CC241" s="22"/>
      <c r="CD241" s="598"/>
      <c r="CE241" s="599"/>
      <c r="CF241" s="24"/>
      <c r="CG241" s="74"/>
      <c r="CH241" s="74"/>
      <c r="CI241" s="74"/>
      <c r="CJ241" s="74"/>
      <c r="CK241" s="74"/>
      <c r="CL241" s="74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31">
        <v>305.83</v>
      </c>
      <c r="DB241" s="31">
        <v>305.83</v>
      </c>
      <c r="DC241" s="31">
        <v>305.83</v>
      </c>
      <c r="DD241" s="31">
        <v>322.82</v>
      </c>
      <c r="DE241" s="31">
        <v>305.83</v>
      </c>
      <c r="DF241" s="108">
        <f>DE241/2</f>
        <v>152.91499999999999</v>
      </c>
      <c r="DG241" s="134">
        <f>DF241</f>
        <v>152.91499999999999</v>
      </c>
      <c r="DI241" s="826"/>
      <c r="DJ241" s="788"/>
    </row>
    <row r="242" spans="1:114" s="783" customFormat="1" hidden="1">
      <c r="A242" s="177"/>
      <c r="B242" s="212" t="s">
        <v>38</v>
      </c>
      <c r="C242" s="837" t="s">
        <v>54</v>
      </c>
      <c r="D242" s="31"/>
      <c r="E242" s="31"/>
      <c r="F242" s="31"/>
      <c r="G242" s="31"/>
      <c r="H242" s="78"/>
      <c r="I242" s="78"/>
      <c r="J242" s="78"/>
      <c r="K242" s="78"/>
      <c r="L242" s="111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112"/>
      <c r="Z242" s="111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113"/>
      <c r="AL242" s="111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113"/>
      <c r="AX242" s="101"/>
      <c r="AY242" s="33"/>
      <c r="AZ242" s="102"/>
      <c r="BA242" s="103"/>
      <c r="BB242" s="103"/>
      <c r="BC242" s="103"/>
      <c r="BD242" s="103"/>
      <c r="BE242" s="104"/>
      <c r="BF242" s="102"/>
      <c r="BG242" s="103"/>
      <c r="BH242" s="103"/>
      <c r="BI242" s="104"/>
      <c r="BJ242" s="417"/>
      <c r="BK242" s="418"/>
      <c r="BL242" s="36"/>
      <c r="BM242" s="2"/>
      <c r="BN242" s="12"/>
      <c r="BO242" s="585"/>
      <c r="BP242" s="14"/>
      <c r="BQ242" s="15"/>
      <c r="BR242" s="563"/>
      <c r="BS242" s="17"/>
      <c r="BT242" s="14"/>
      <c r="BU242" s="15"/>
      <c r="BV242" s="563"/>
      <c r="BW242" s="17"/>
      <c r="BX242" s="18"/>
      <c r="BY242" s="19"/>
      <c r="BZ242" s="20"/>
      <c r="CA242" s="564"/>
      <c r="CB242" s="21"/>
      <c r="CC242" s="22"/>
      <c r="CD242" s="598"/>
      <c r="CE242" s="599"/>
      <c r="CF242" s="24"/>
      <c r="CG242" s="74"/>
      <c r="CH242" s="74"/>
      <c r="CI242" s="74"/>
      <c r="CJ242" s="74"/>
      <c r="CK242" s="74"/>
      <c r="CL242" s="74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33"/>
      <c r="DB242" s="33"/>
      <c r="DC242" s="31"/>
      <c r="DD242" s="31"/>
      <c r="DE242" s="31"/>
      <c r="DF242" s="31"/>
      <c r="DG242" s="134"/>
      <c r="DI242" s="826"/>
      <c r="DJ242" s="788"/>
    </row>
    <row r="243" spans="1:114" s="783" customFormat="1" hidden="1">
      <c r="A243" s="177"/>
      <c r="B243" s="212" t="s">
        <v>39</v>
      </c>
      <c r="C243" s="837" t="s">
        <v>54</v>
      </c>
      <c r="D243" s="31"/>
      <c r="E243" s="31"/>
      <c r="F243" s="31"/>
      <c r="G243" s="31"/>
      <c r="H243" s="78"/>
      <c r="I243" s="78"/>
      <c r="J243" s="78"/>
      <c r="K243" s="78"/>
      <c r="L243" s="111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112"/>
      <c r="Z243" s="111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113"/>
      <c r="AL243" s="111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113"/>
      <c r="AX243" s="101"/>
      <c r="AY243" s="33"/>
      <c r="AZ243" s="102"/>
      <c r="BA243" s="103"/>
      <c r="BB243" s="103"/>
      <c r="BC243" s="103"/>
      <c r="BD243" s="103"/>
      <c r="BE243" s="104"/>
      <c r="BF243" s="102"/>
      <c r="BG243" s="103"/>
      <c r="BH243" s="103"/>
      <c r="BI243" s="104"/>
      <c r="BJ243" s="417"/>
      <c r="BK243" s="418"/>
      <c r="BL243" s="36"/>
      <c r="BM243" s="2"/>
      <c r="BN243" s="12"/>
      <c r="BO243" s="585"/>
      <c r="BP243" s="14"/>
      <c r="BQ243" s="15"/>
      <c r="BR243" s="563"/>
      <c r="BS243" s="17"/>
      <c r="BT243" s="14"/>
      <c r="BU243" s="15"/>
      <c r="BV243" s="563"/>
      <c r="BW243" s="17"/>
      <c r="BX243" s="18"/>
      <c r="BY243" s="19"/>
      <c r="BZ243" s="20"/>
      <c r="CA243" s="564"/>
      <c r="CB243" s="21"/>
      <c r="CC243" s="22"/>
      <c r="CD243" s="598"/>
      <c r="CE243" s="599"/>
      <c r="CF243" s="24"/>
      <c r="CG243" s="74"/>
      <c r="CH243" s="74"/>
      <c r="CI243" s="74"/>
      <c r="CJ243" s="74"/>
      <c r="CK243" s="74"/>
      <c r="CL243" s="74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33"/>
      <c r="DB243" s="33"/>
      <c r="DC243" s="31"/>
      <c r="DD243" s="31"/>
      <c r="DE243" s="31"/>
      <c r="DF243" s="31"/>
      <c r="DG243" s="134"/>
      <c r="DI243" s="826"/>
      <c r="DJ243" s="788"/>
    </row>
    <row r="244" spans="1:114" s="783" customFormat="1" hidden="1">
      <c r="A244" s="177"/>
      <c r="B244" s="187" t="s">
        <v>170</v>
      </c>
      <c r="C244" s="837" t="s">
        <v>54</v>
      </c>
      <c r="D244" s="31">
        <v>84.25</v>
      </c>
      <c r="E244" s="31">
        <v>61.17</v>
      </c>
      <c r="F244" s="31">
        <v>61.17</v>
      </c>
      <c r="G244" s="31">
        <v>61.17</v>
      </c>
      <c r="H244" s="78"/>
      <c r="I244" s="78"/>
      <c r="J244" s="78"/>
      <c r="K244" s="78"/>
      <c r="L244" s="111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112"/>
      <c r="Z244" s="111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113"/>
      <c r="AL244" s="111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113"/>
      <c r="AX244" s="101"/>
      <c r="AY244" s="31">
        <v>61.17</v>
      </c>
      <c r="AZ244" s="102"/>
      <c r="BA244" s="103">
        <v>40.549999999999997</v>
      </c>
      <c r="BB244" s="103"/>
      <c r="BC244" s="103">
        <v>15.34</v>
      </c>
      <c r="BD244" s="103"/>
      <c r="BE244" s="104"/>
      <c r="BF244" s="102"/>
      <c r="BG244" s="103"/>
      <c r="BH244" s="103"/>
      <c r="BI244" s="104"/>
      <c r="BJ244" s="417"/>
      <c r="BK244" s="418"/>
      <c r="BL244" s="36"/>
      <c r="BM244" s="2"/>
      <c r="BN244" s="12"/>
      <c r="BO244" s="585"/>
      <c r="BP244" s="14"/>
      <c r="BQ244" s="15"/>
      <c r="BR244" s="563"/>
      <c r="BS244" s="17"/>
      <c r="BT244" s="14"/>
      <c r="BU244" s="15"/>
      <c r="BV244" s="563"/>
      <c r="BW244" s="17"/>
      <c r="BX244" s="18"/>
      <c r="BY244" s="19"/>
      <c r="BZ244" s="20"/>
      <c r="CA244" s="564"/>
      <c r="CB244" s="21"/>
      <c r="CC244" s="22"/>
      <c r="CD244" s="598"/>
      <c r="CE244" s="599"/>
      <c r="CF244" s="24"/>
      <c r="CG244" s="74"/>
      <c r="CH244" s="74"/>
      <c r="CI244" s="74"/>
      <c r="CJ244" s="74"/>
      <c r="CK244" s="74"/>
      <c r="CL244" s="74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31">
        <f>DA241*20/100</f>
        <v>61.165999999999997</v>
      </c>
      <c r="DB244" s="31">
        <f>DB241*20/100</f>
        <v>61.165999999999997</v>
      </c>
      <c r="DC244" s="31">
        <v>61.17</v>
      </c>
      <c r="DD244" s="31">
        <v>64.569999999999993</v>
      </c>
      <c r="DE244" s="31">
        <v>61.17</v>
      </c>
      <c r="DF244" s="108">
        <f t="shared" ref="DF244:DF254" si="150">DE244/2</f>
        <v>30.585000000000001</v>
      </c>
      <c r="DG244" s="134">
        <f>DF244</f>
        <v>30.585000000000001</v>
      </c>
      <c r="DI244" s="826"/>
      <c r="DJ244" s="788"/>
    </row>
    <row r="245" spans="1:114" s="783" customFormat="1" hidden="1">
      <c r="A245" s="232" t="s">
        <v>272</v>
      </c>
      <c r="B245" s="166" t="s">
        <v>96</v>
      </c>
      <c r="C245" s="834" t="s">
        <v>54</v>
      </c>
      <c r="D245" s="108">
        <f>SUM(D246:D248)</f>
        <v>337.04</v>
      </c>
      <c r="E245" s="108">
        <f>SUM(E246:E248)</f>
        <v>364.58</v>
      </c>
      <c r="F245" s="108">
        <f>SUM(F246:F248)</f>
        <v>364.58</v>
      </c>
      <c r="G245" s="108">
        <f>SUM(G246:G248)</f>
        <v>364.58</v>
      </c>
      <c r="H245" s="234" t="e">
        <f t="shared" ref="H245:U245" si="151">H246+H249</f>
        <v>#REF!</v>
      </c>
      <c r="I245" s="234" t="e">
        <f t="shared" si="151"/>
        <v>#REF!</v>
      </c>
      <c r="J245" s="234" t="e">
        <f t="shared" si="151"/>
        <v>#REF!</v>
      </c>
      <c r="K245" s="234" t="e">
        <f t="shared" si="151"/>
        <v>#REF!</v>
      </c>
      <c r="L245" s="235" t="e">
        <f t="shared" si="151"/>
        <v>#REF!</v>
      </c>
      <c r="M245" s="235" t="e">
        <f t="shared" si="151"/>
        <v>#REF!</v>
      </c>
      <c r="N245" s="235" t="e">
        <f t="shared" si="151"/>
        <v>#REF!</v>
      </c>
      <c r="O245" s="235" t="e">
        <f t="shared" si="151"/>
        <v>#REF!</v>
      </c>
      <c r="P245" s="235"/>
      <c r="Q245" s="235"/>
      <c r="R245" s="235">
        <v>136.47999999999999</v>
      </c>
      <c r="S245" s="235" t="e">
        <f t="shared" si="151"/>
        <v>#REF!</v>
      </c>
      <c r="T245" s="235" t="e">
        <f t="shared" si="151"/>
        <v>#REF!</v>
      </c>
      <c r="U245" s="235" t="e">
        <f t="shared" si="151"/>
        <v>#REF!</v>
      </c>
      <c r="V245" s="235"/>
      <c r="W245" s="235"/>
      <c r="X245" s="235" t="e">
        <f>O245-N245</f>
        <v>#REF!</v>
      </c>
      <c r="Y245" s="236" t="e">
        <f>O245/N245</f>
        <v>#REF!</v>
      </c>
      <c r="Z245" s="235" t="e">
        <f t="shared" ref="Z245:AG245" si="152">Z246+Z249</f>
        <v>#REF!</v>
      </c>
      <c r="AA245" s="235" t="e">
        <f t="shared" si="152"/>
        <v>#REF!</v>
      </c>
      <c r="AB245" s="235" t="e">
        <f t="shared" si="152"/>
        <v>#REF!</v>
      </c>
      <c r="AC245" s="235" t="e">
        <f t="shared" si="152"/>
        <v>#REF!</v>
      </c>
      <c r="AD245" s="235" t="e">
        <f t="shared" si="152"/>
        <v>#REF!</v>
      </c>
      <c r="AE245" s="235" t="e">
        <f t="shared" si="152"/>
        <v>#REF!</v>
      </c>
      <c r="AF245" s="235" t="e">
        <f t="shared" si="152"/>
        <v>#REF!</v>
      </c>
      <c r="AG245" s="235" t="e">
        <f t="shared" si="152"/>
        <v>#REF!</v>
      </c>
      <c r="AH245" s="235"/>
      <c r="AI245" s="235"/>
      <c r="AJ245" s="235" t="e">
        <f>AC245-AB245</f>
        <v>#REF!</v>
      </c>
      <c r="AK245" s="237" t="e">
        <f>AC245/AB245</f>
        <v>#REF!</v>
      </c>
      <c r="AL245" s="235" t="e">
        <f t="shared" ref="AL245:AS245" si="153">AL246+AL249</f>
        <v>#REF!</v>
      </c>
      <c r="AM245" s="235" t="e">
        <f t="shared" si="153"/>
        <v>#REF!</v>
      </c>
      <c r="AN245" s="235" t="e">
        <f t="shared" si="153"/>
        <v>#REF!</v>
      </c>
      <c r="AO245" s="235" t="e">
        <f t="shared" si="153"/>
        <v>#REF!</v>
      </c>
      <c r="AP245" s="235" t="e">
        <f t="shared" si="153"/>
        <v>#REF!</v>
      </c>
      <c r="AQ245" s="235" t="e">
        <f t="shared" si="153"/>
        <v>#REF!</v>
      </c>
      <c r="AR245" s="235" t="e">
        <f t="shared" si="153"/>
        <v>#REF!</v>
      </c>
      <c r="AS245" s="235" t="e">
        <f t="shared" si="153"/>
        <v>#REF!</v>
      </c>
      <c r="AT245" s="235"/>
      <c r="AU245" s="235"/>
      <c r="AV245" s="235" t="e">
        <f>AO245-AN245</f>
        <v>#REF!</v>
      </c>
      <c r="AW245" s="237" t="e">
        <f>AO245/AN245</f>
        <v>#REF!</v>
      </c>
      <c r="AX245" s="101">
        <f>G245/2</f>
        <v>182.29</v>
      </c>
      <c r="AY245" s="101">
        <f>SUM(AY246:AY248)</f>
        <v>382.75</v>
      </c>
      <c r="AZ245" s="238" t="e">
        <f>AZ246+AZ249</f>
        <v>#REF!</v>
      </c>
      <c r="BA245" s="239">
        <f>SUM(BA246:BA248)</f>
        <v>231.66</v>
      </c>
      <c r="BB245" s="239">
        <f t="shared" ref="BB245:BG245" si="154">SUM(BB246:BB248)</f>
        <v>0</v>
      </c>
      <c r="BC245" s="239">
        <f t="shared" si="154"/>
        <v>75.7</v>
      </c>
      <c r="BD245" s="239">
        <f t="shared" si="154"/>
        <v>0</v>
      </c>
      <c r="BE245" s="240">
        <f t="shared" si="154"/>
        <v>20.34</v>
      </c>
      <c r="BF245" s="238">
        <f t="shared" si="154"/>
        <v>16.25</v>
      </c>
      <c r="BG245" s="239">
        <f t="shared" si="154"/>
        <v>0</v>
      </c>
      <c r="BH245" s="239"/>
      <c r="BI245" s="240"/>
      <c r="BJ245" s="417" t="e">
        <f>BA245-AZ245</f>
        <v>#REF!</v>
      </c>
      <c r="BK245" s="545" t="e">
        <f>BA245/AZ245</f>
        <v>#REF!</v>
      </c>
      <c r="BL245" s="546"/>
      <c r="BM245" s="238" t="e">
        <f>BM246+BM249</f>
        <v>#REF!</v>
      </c>
      <c r="BN245" s="239"/>
      <c r="BO245" s="455"/>
      <c r="BP245" s="547"/>
      <c r="BQ245" s="548"/>
      <c r="BR245" s="549"/>
      <c r="BS245" s="550"/>
      <c r="BT245" s="547"/>
      <c r="BU245" s="548"/>
      <c r="BV245" s="549"/>
      <c r="BW245" s="550"/>
      <c r="BX245" s="551">
        <f>BX246</f>
        <v>0</v>
      </c>
      <c r="BY245" s="552">
        <f>F245</f>
        <v>364.58</v>
      </c>
      <c r="BZ245" s="553" t="e">
        <f>M245+BM245+BQ245+BU245</f>
        <v>#REF!</v>
      </c>
      <c r="CA245" s="548" t="e">
        <f>BZ245-BY245</f>
        <v>#REF!</v>
      </c>
      <c r="CB245" s="554" t="e">
        <f>BZ245/BY245</f>
        <v>#REF!</v>
      </c>
      <c r="CC245" s="309" t="e">
        <f>BZ245-E245</f>
        <v>#REF!</v>
      </c>
      <c r="CD245" s="555" t="e">
        <f>CD246+CD249</f>
        <v>#REF!</v>
      </c>
      <c r="CE245" s="556" t="e">
        <f>CE246+CE249</f>
        <v>#REF!</v>
      </c>
      <c r="CF245" s="557"/>
      <c r="CG245" s="558"/>
      <c r="CH245" s="558"/>
      <c r="CI245" s="558"/>
      <c r="CJ245" s="558"/>
      <c r="CK245" s="558"/>
      <c r="CL245" s="558"/>
      <c r="CM245" s="559"/>
      <c r="CN245" s="559"/>
      <c r="CO245" s="559"/>
      <c r="CP245" s="559"/>
      <c r="CQ245" s="559"/>
      <c r="CR245" s="559"/>
      <c r="CS245" s="559"/>
      <c r="CT245" s="559"/>
      <c r="CU245" s="559"/>
      <c r="CV245" s="559"/>
      <c r="CW245" s="559"/>
      <c r="CX245" s="559"/>
      <c r="CY245" s="559"/>
      <c r="CZ245" s="559"/>
      <c r="DA245" s="101"/>
      <c r="DB245" s="101">
        <f>SUM(DB246:DB248)</f>
        <v>364.58</v>
      </c>
      <c r="DC245" s="108"/>
      <c r="DD245" s="108"/>
      <c r="DE245" s="108"/>
      <c r="DF245" s="108">
        <f t="shared" si="150"/>
        <v>0</v>
      </c>
      <c r="DG245" s="117"/>
      <c r="DI245" s="826"/>
      <c r="DJ245" s="788"/>
    </row>
    <row r="246" spans="1:114" s="783" customFormat="1" hidden="1">
      <c r="A246" s="177"/>
      <c r="B246" s="187" t="s">
        <v>30</v>
      </c>
      <c r="C246" s="837" t="s">
        <v>54</v>
      </c>
      <c r="D246" s="31">
        <v>12.76</v>
      </c>
      <c r="E246" s="31">
        <v>17.329999999999998</v>
      </c>
      <c r="F246" s="31">
        <v>17.329999999999998</v>
      </c>
      <c r="G246" s="31">
        <v>17.329999999999998</v>
      </c>
      <c r="H246" s="31"/>
      <c r="I246" s="31"/>
      <c r="J246" s="31"/>
      <c r="K246" s="31"/>
      <c r="L246" s="105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106"/>
      <c r="Z246" s="105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107"/>
      <c r="AL246" s="105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107"/>
      <c r="AX246" s="108"/>
      <c r="AY246" s="31">
        <v>17.329999999999998</v>
      </c>
      <c r="AZ246" s="109"/>
      <c r="BA246" s="62">
        <v>7.24</v>
      </c>
      <c r="BB246" s="62"/>
      <c r="BC246" s="62">
        <v>7.08</v>
      </c>
      <c r="BD246" s="62"/>
      <c r="BE246" s="110">
        <v>0.61</v>
      </c>
      <c r="BF246" s="109">
        <v>1.42</v>
      </c>
      <c r="BG246" s="62"/>
      <c r="BH246" s="62"/>
      <c r="BI246" s="110"/>
      <c r="BJ246" s="426"/>
      <c r="BK246" s="427"/>
      <c r="BL246" s="560"/>
      <c r="BM246" s="2"/>
      <c r="BN246" s="12"/>
      <c r="BO246" s="585"/>
      <c r="BP246" s="14"/>
      <c r="BQ246" s="15"/>
      <c r="BR246" s="563"/>
      <c r="BS246" s="17"/>
      <c r="BT246" s="14"/>
      <c r="BU246" s="15"/>
      <c r="BV246" s="563"/>
      <c r="BW246" s="17"/>
      <c r="BX246" s="18"/>
      <c r="BY246" s="19"/>
      <c r="BZ246" s="20"/>
      <c r="CA246" s="564"/>
      <c r="CB246" s="21"/>
      <c r="CC246" s="22"/>
      <c r="CD246" s="598"/>
      <c r="CE246" s="599"/>
      <c r="CF246" s="24"/>
      <c r="CG246" s="74"/>
      <c r="CH246" s="74"/>
      <c r="CI246" s="74"/>
      <c r="CJ246" s="74"/>
      <c r="CK246" s="74"/>
      <c r="CL246" s="74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31">
        <v>17.329999999999998</v>
      </c>
      <c r="DB246" s="31">
        <v>17.329999999999998</v>
      </c>
      <c r="DC246" s="31">
        <v>17.8</v>
      </c>
      <c r="DD246" s="31">
        <v>29.64</v>
      </c>
      <c r="DE246" s="766">
        <v>34.090000000000003</v>
      </c>
      <c r="DF246" s="108">
        <f t="shared" si="150"/>
        <v>17.045000000000002</v>
      </c>
      <c r="DG246" s="134">
        <f>DF246</f>
        <v>17.045000000000002</v>
      </c>
      <c r="DH246" s="835"/>
      <c r="DI246" s="826"/>
      <c r="DJ246" s="788"/>
    </row>
    <row r="247" spans="1:114" s="783" customFormat="1" hidden="1">
      <c r="A247" s="177"/>
      <c r="B247" s="187" t="s">
        <v>24</v>
      </c>
      <c r="C247" s="837" t="s">
        <v>54</v>
      </c>
      <c r="D247" s="31">
        <v>81.37</v>
      </c>
      <c r="E247" s="31">
        <v>76.599999999999994</v>
      </c>
      <c r="F247" s="31">
        <v>76.599999999999994</v>
      </c>
      <c r="G247" s="31">
        <v>76.599999999999994</v>
      </c>
      <c r="H247" s="31"/>
      <c r="I247" s="31"/>
      <c r="J247" s="31"/>
      <c r="K247" s="31"/>
      <c r="L247" s="105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106"/>
      <c r="Z247" s="105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107"/>
      <c r="AL247" s="105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107"/>
      <c r="AX247" s="108"/>
      <c r="AY247" s="31">
        <v>71.37</v>
      </c>
      <c r="AZ247" s="109"/>
      <c r="BA247" s="62">
        <v>49.14</v>
      </c>
      <c r="BB247" s="62"/>
      <c r="BC247" s="62">
        <v>15.31</v>
      </c>
      <c r="BD247" s="62"/>
      <c r="BE247" s="110">
        <v>5.41</v>
      </c>
      <c r="BF247" s="109">
        <v>2.41</v>
      </c>
      <c r="BG247" s="62"/>
      <c r="BH247" s="62"/>
      <c r="BI247" s="110"/>
      <c r="BJ247" s="426"/>
      <c r="BK247" s="427"/>
      <c r="BL247" s="560"/>
      <c r="BM247" s="2"/>
      <c r="BN247" s="12"/>
      <c r="BO247" s="585"/>
      <c r="BP247" s="14"/>
      <c r="BQ247" s="15"/>
      <c r="BR247" s="563"/>
      <c r="BS247" s="17"/>
      <c r="BT247" s="14"/>
      <c r="BU247" s="15"/>
      <c r="BV247" s="563"/>
      <c r="BW247" s="17"/>
      <c r="BX247" s="18"/>
      <c r="BY247" s="19"/>
      <c r="BZ247" s="20"/>
      <c r="CA247" s="564"/>
      <c r="CB247" s="21"/>
      <c r="CC247" s="22"/>
      <c r="CD247" s="598"/>
      <c r="CE247" s="599"/>
      <c r="CF247" s="24"/>
      <c r="CG247" s="74"/>
      <c r="CH247" s="74"/>
      <c r="CI247" s="74"/>
      <c r="CJ247" s="74"/>
      <c r="CK247" s="74"/>
      <c r="CL247" s="74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31">
        <v>76.599999999999994</v>
      </c>
      <c r="DB247" s="31">
        <v>76.599999999999994</v>
      </c>
      <c r="DC247" s="31">
        <v>76.599999999999994</v>
      </c>
      <c r="DD247" s="31">
        <v>71.510000000000005</v>
      </c>
      <c r="DE247" s="766">
        <v>88.09</v>
      </c>
      <c r="DF247" s="108">
        <f t="shared" si="150"/>
        <v>44.045000000000002</v>
      </c>
      <c r="DG247" s="134">
        <f t="shared" ref="DG247:DG254" si="155">DF247</f>
        <v>44.045000000000002</v>
      </c>
      <c r="DH247" s="835"/>
      <c r="DI247" s="826"/>
      <c r="DJ247" s="788"/>
    </row>
    <row r="248" spans="1:114" s="783" customFormat="1" hidden="1">
      <c r="A248" s="177"/>
      <c r="B248" s="187" t="s">
        <v>95</v>
      </c>
      <c r="C248" s="837" t="s">
        <v>54</v>
      </c>
      <c r="D248" s="31">
        <v>242.91</v>
      </c>
      <c r="E248" s="31">
        <v>270.64999999999998</v>
      </c>
      <c r="F248" s="31">
        <v>270.64999999999998</v>
      </c>
      <c r="G248" s="31">
        <v>270.64999999999998</v>
      </c>
      <c r="H248" s="31"/>
      <c r="I248" s="31"/>
      <c r="J248" s="31"/>
      <c r="K248" s="31"/>
      <c r="L248" s="105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106"/>
      <c r="Z248" s="105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107"/>
      <c r="AL248" s="105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107"/>
      <c r="AX248" s="108"/>
      <c r="AY248" s="31">
        <v>294.05</v>
      </c>
      <c r="AZ248" s="109"/>
      <c r="BA248" s="62">
        <v>175.28</v>
      </c>
      <c r="BB248" s="62"/>
      <c r="BC248" s="62">
        <v>53.31</v>
      </c>
      <c r="BD248" s="62"/>
      <c r="BE248" s="110">
        <v>14.32</v>
      </c>
      <c r="BF248" s="109">
        <v>12.42</v>
      </c>
      <c r="BG248" s="62"/>
      <c r="BH248" s="62"/>
      <c r="BI248" s="110"/>
      <c r="BJ248" s="426"/>
      <c r="BK248" s="427"/>
      <c r="BL248" s="560"/>
      <c r="BM248" s="2"/>
      <c r="BN248" s="12"/>
      <c r="BO248" s="585"/>
      <c r="BP248" s="14"/>
      <c r="BQ248" s="15"/>
      <c r="BR248" s="563"/>
      <c r="BS248" s="17"/>
      <c r="BT248" s="14"/>
      <c r="BU248" s="15"/>
      <c r="BV248" s="563"/>
      <c r="BW248" s="17"/>
      <c r="BX248" s="18"/>
      <c r="BY248" s="19"/>
      <c r="BZ248" s="20"/>
      <c r="CA248" s="564"/>
      <c r="CB248" s="21"/>
      <c r="CC248" s="22"/>
      <c r="CD248" s="598"/>
      <c r="CE248" s="599"/>
      <c r="CF248" s="24"/>
      <c r="CG248" s="74"/>
      <c r="CH248" s="74"/>
      <c r="CI248" s="74"/>
      <c r="CJ248" s="74"/>
      <c r="CK248" s="74"/>
      <c r="CL248" s="74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31">
        <v>270.64999999999998</v>
      </c>
      <c r="DB248" s="31">
        <v>270.64999999999998</v>
      </c>
      <c r="DC248" s="31">
        <v>295</v>
      </c>
      <c r="DD248" s="31">
        <v>324</v>
      </c>
      <c r="DE248" s="766">
        <v>346.68</v>
      </c>
      <c r="DF248" s="108">
        <f t="shared" si="150"/>
        <v>173.34</v>
      </c>
      <c r="DG248" s="134">
        <f t="shared" si="155"/>
        <v>173.34</v>
      </c>
      <c r="DH248" s="835"/>
      <c r="DI248" s="826"/>
      <c r="DJ248" s="788"/>
    </row>
    <row r="249" spans="1:114" s="783" customFormat="1" hidden="1">
      <c r="A249" s="232" t="s">
        <v>273</v>
      </c>
      <c r="B249" s="166" t="s">
        <v>28</v>
      </c>
      <c r="C249" s="834" t="s">
        <v>54</v>
      </c>
      <c r="D249" s="108">
        <f>SUM(D250:D254)</f>
        <v>74.42</v>
      </c>
      <c r="E249" s="108">
        <f>SUM(E250:E254)</f>
        <v>42</v>
      </c>
      <c r="F249" s="108">
        <f>SUM(F250:F254)</f>
        <v>42</v>
      </c>
      <c r="G249" s="108">
        <f>SUM(G250:G254)</f>
        <v>42</v>
      </c>
      <c r="H249" s="234" t="e">
        <f t="shared" ref="H249:U249" si="156">H250+H255</f>
        <v>#REF!</v>
      </c>
      <c r="I249" s="234" t="e">
        <f t="shared" si="156"/>
        <v>#REF!</v>
      </c>
      <c r="J249" s="234" t="e">
        <f t="shared" si="156"/>
        <v>#REF!</v>
      </c>
      <c r="K249" s="234" t="e">
        <f t="shared" si="156"/>
        <v>#REF!</v>
      </c>
      <c r="L249" s="235" t="e">
        <f t="shared" si="156"/>
        <v>#REF!</v>
      </c>
      <c r="M249" s="235" t="e">
        <f t="shared" si="156"/>
        <v>#REF!</v>
      </c>
      <c r="N249" s="235" t="e">
        <f t="shared" si="156"/>
        <v>#REF!</v>
      </c>
      <c r="O249" s="235" t="e">
        <f t="shared" si="156"/>
        <v>#REF!</v>
      </c>
      <c r="P249" s="235"/>
      <c r="Q249" s="235"/>
      <c r="R249" s="235">
        <v>136.47999999999999</v>
      </c>
      <c r="S249" s="235" t="e">
        <f t="shared" si="156"/>
        <v>#REF!</v>
      </c>
      <c r="T249" s="235" t="e">
        <f t="shared" si="156"/>
        <v>#REF!</v>
      </c>
      <c r="U249" s="235" t="e">
        <f t="shared" si="156"/>
        <v>#REF!</v>
      </c>
      <c r="V249" s="235"/>
      <c r="W249" s="235"/>
      <c r="X249" s="235" t="e">
        <f>O249-N249</f>
        <v>#REF!</v>
      </c>
      <c r="Y249" s="236" t="e">
        <f>O249/N249</f>
        <v>#REF!</v>
      </c>
      <c r="Z249" s="235" t="e">
        <f t="shared" ref="Z249:AG249" si="157">Z250+Z255</f>
        <v>#REF!</v>
      </c>
      <c r="AA249" s="235" t="e">
        <f t="shared" si="157"/>
        <v>#REF!</v>
      </c>
      <c r="AB249" s="235" t="e">
        <f t="shared" si="157"/>
        <v>#REF!</v>
      </c>
      <c r="AC249" s="235" t="e">
        <f t="shared" si="157"/>
        <v>#REF!</v>
      </c>
      <c r="AD249" s="235" t="e">
        <f t="shared" si="157"/>
        <v>#REF!</v>
      </c>
      <c r="AE249" s="235" t="e">
        <f t="shared" si="157"/>
        <v>#REF!</v>
      </c>
      <c r="AF249" s="235" t="e">
        <f t="shared" si="157"/>
        <v>#REF!</v>
      </c>
      <c r="AG249" s="235" t="e">
        <f t="shared" si="157"/>
        <v>#REF!</v>
      </c>
      <c r="AH249" s="235"/>
      <c r="AI249" s="235"/>
      <c r="AJ249" s="235" t="e">
        <f>AC249-AB249</f>
        <v>#REF!</v>
      </c>
      <c r="AK249" s="237" t="e">
        <f>AC249/AB249</f>
        <v>#REF!</v>
      </c>
      <c r="AL249" s="235" t="e">
        <f t="shared" ref="AL249:AS249" si="158">AL250+AL255</f>
        <v>#REF!</v>
      </c>
      <c r="AM249" s="235" t="e">
        <f t="shared" si="158"/>
        <v>#REF!</v>
      </c>
      <c r="AN249" s="235" t="e">
        <f t="shared" si="158"/>
        <v>#REF!</v>
      </c>
      <c r="AO249" s="235" t="e">
        <f t="shared" si="158"/>
        <v>#REF!</v>
      </c>
      <c r="AP249" s="235" t="e">
        <f t="shared" si="158"/>
        <v>#REF!</v>
      </c>
      <c r="AQ249" s="235" t="e">
        <f t="shared" si="158"/>
        <v>#REF!</v>
      </c>
      <c r="AR249" s="235" t="e">
        <f t="shared" si="158"/>
        <v>#REF!</v>
      </c>
      <c r="AS249" s="235" t="e">
        <f t="shared" si="158"/>
        <v>#REF!</v>
      </c>
      <c r="AT249" s="235"/>
      <c r="AU249" s="235"/>
      <c r="AV249" s="235" t="e">
        <f>AO249-AN249</f>
        <v>#REF!</v>
      </c>
      <c r="AW249" s="237" t="e">
        <f>AO249/AN249</f>
        <v>#REF!</v>
      </c>
      <c r="AX249" s="101">
        <f>G249/2</f>
        <v>21</v>
      </c>
      <c r="AY249" s="101">
        <f>SUM(AY250:AY254)</f>
        <v>38.43</v>
      </c>
      <c r="AZ249" s="238" t="e">
        <f>AZ250+AZ255</f>
        <v>#REF!</v>
      </c>
      <c r="BA249" s="239">
        <f>SUM(BA250:BA254)</f>
        <v>30.71</v>
      </c>
      <c r="BB249" s="239">
        <f t="shared" ref="BB249:BG249" si="159">SUM(BB250:BB254)</f>
        <v>0</v>
      </c>
      <c r="BC249" s="239">
        <f t="shared" si="159"/>
        <v>9.1999999999999993</v>
      </c>
      <c r="BD249" s="239">
        <f t="shared" si="159"/>
        <v>0</v>
      </c>
      <c r="BE249" s="240">
        <f t="shared" si="159"/>
        <v>0.75</v>
      </c>
      <c r="BF249" s="238">
        <f t="shared" si="159"/>
        <v>0.28999999999999998</v>
      </c>
      <c r="BG249" s="239">
        <f t="shared" si="159"/>
        <v>0</v>
      </c>
      <c r="BH249" s="239"/>
      <c r="BI249" s="240"/>
      <c r="BJ249" s="417" t="e">
        <f>BA249-AZ249</f>
        <v>#REF!</v>
      </c>
      <c r="BK249" s="545" t="e">
        <f>BA249/AZ249</f>
        <v>#REF!</v>
      </c>
      <c r="BL249" s="546"/>
      <c r="BM249" s="238" t="e">
        <f>BM250+BM255</f>
        <v>#REF!</v>
      </c>
      <c r="BN249" s="239"/>
      <c r="BO249" s="455"/>
      <c r="BP249" s="547"/>
      <c r="BQ249" s="548"/>
      <c r="BR249" s="549"/>
      <c r="BS249" s="550"/>
      <c r="BT249" s="547"/>
      <c r="BU249" s="548"/>
      <c r="BV249" s="549"/>
      <c r="BW249" s="550"/>
      <c r="BX249" s="551">
        <f>BX250</f>
        <v>0</v>
      </c>
      <c r="BY249" s="552">
        <f>F249</f>
        <v>42</v>
      </c>
      <c r="BZ249" s="553" t="e">
        <f>M249+BM249+BQ249+BU249</f>
        <v>#REF!</v>
      </c>
      <c r="CA249" s="548" t="e">
        <f>BZ249-BY249</f>
        <v>#REF!</v>
      </c>
      <c r="CB249" s="554" t="e">
        <f>BZ249/BY249</f>
        <v>#REF!</v>
      </c>
      <c r="CC249" s="309" t="e">
        <f>BZ249-E249</f>
        <v>#REF!</v>
      </c>
      <c r="CD249" s="555" t="e">
        <f>CD250+CD255</f>
        <v>#REF!</v>
      </c>
      <c r="CE249" s="556" t="e">
        <f>CE250+CE255</f>
        <v>#REF!</v>
      </c>
      <c r="CF249" s="557"/>
      <c r="CG249" s="558"/>
      <c r="CH249" s="558"/>
      <c r="CI249" s="558"/>
      <c r="CJ249" s="558"/>
      <c r="CK249" s="558"/>
      <c r="CL249" s="558"/>
      <c r="CM249" s="559"/>
      <c r="CN249" s="559"/>
      <c r="CO249" s="559"/>
      <c r="CP249" s="559"/>
      <c r="CQ249" s="559"/>
      <c r="CR249" s="559"/>
      <c r="CS249" s="559"/>
      <c r="CT249" s="559"/>
      <c r="CU249" s="559"/>
      <c r="CV249" s="559"/>
      <c r="CW249" s="559"/>
      <c r="CX249" s="559"/>
      <c r="CY249" s="559"/>
      <c r="CZ249" s="559"/>
      <c r="DA249" s="101"/>
      <c r="DB249" s="101">
        <f>SUM(DB250:DB254)</f>
        <v>42</v>
      </c>
      <c r="DC249" s="108"/>
      <c r="DD249" s="108"/>
      <c r="DE249" s="108"/>
      <c r="DF249" s="108">
        <f t="shared" si="150"/>
        <v>0</v>
      </c>
      <c r="DG249" s="134">
        <f t="shared" si="155"/>
        <v>0</v>
      </c>
      <c r="DI249" s="826"/>
      <c r="DJ249" s="788"/>
    </row>
    <row r="250" spans="1:114" s="783" customFormat="1" hidden="1">
      <c r="A250" s="177"/>
      <c r="B250" s="187" t="s">
        <v>29</v>
      </c>
      <c r="C250" s="837" t="s">
        <v>54</v>
      </c>
      <c r="D250" s="31">
        <v>30</v>
      </c>
      <c r="E250" s="31">
        <v>19.2</v>
      </c>
      <c r="F250" s="31">
        <v>19.2</v>
      </c>
      <c r="G250" s="31">
        <v>19.2</v>
      </c>
      <c r="H250" s="31"/>
      <c r="I250" s="31"/>
      <c r="J250" s="31"/>
      <c r="K250" s="31"/>
      <c r="L250" s="105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106"/>
      <c r="Z250" s="105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107"/>
      <c r="AL250" s="105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107"/>
      <c r="AX250" s="108"/>
      <c r="AY250" s="31">
        <v>14.74</v>
      </c>
      <c r="AZ250" s="109"/>
      <c r="BA250" s="62">
        <v>14.31</v>
      </c>
      <c r="BB250" s="62"/>
      <c r="BC250" s="62">
        <v>4.3</v>
      </c>
      <c r="BD250" s="62"/>
      <c r="BE250" s="110">
        <v>0.32</v>
      </c>
      <c r="BF250" s="109">
        <v>0.12</v>
      </c>
      <c r="BG250" s="62"/>
      <c r="BH250" s="62"/>
      <c r="BI250" s="110"/>
      <c r="BJ250" s="426"/>
      <c r="BK250" s="427"/>
      <c r="BL250" s="560"/>
      <c r="BM250" s="2"/>
      <c r="BN250" s="12"/>
      <c r="BO250" s="585"/>
      <c r="BP250" s="14"/>
      <c r="BQ250" s="15"/>
      <c r="BR250" s="563"/>
      <c r="BS250" s="17"/>
      <c r="BT250" s="14"/>
      <c r="BU250" s="15"/>
      <c r="BV250" s="563"/>
      <c r="BW250" s="17"/>
      <c r="BX250" s="18"/>
      <c r="BY250" s="19"/>
      <c r="BZ250" s="20"/>
      <c r="CA250" s="564"/>
      <c r="CB250" s="21"/>
      <c r="CC250" s="22"/>
      <c r="CD250" s="598"/>
      <c r="CE250" s="599"/>
      <c r="CF250" s="24"/>
      <c r="CG250" s="74"/>
      <c r="CH250" s="74"/>
      <c r="CI250" s="74"/>
      <c r="CJ250" s="74"/>
      <c r="CK250" s="74"/>
      <c r="CL250" s="74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31">
        <v>19.2</v>
      </c>
      <c r="DB250" s="31">
        <v>19.2</v>
      </c>
      <c r="DC250" s="31">
        <v>19.2</v>
      </c>
      <c r="DD250" s="31">
        <v>12</v>
      </c>
      <c r="DE250" s="31">
        <v>19.2</v>
      </c>
      <c r="DF250" s="108">
        <f t="shared" si="150"/>
        <v>9.6</v>
      </c>
      <c r="DG250" s="134">
        <f t="shared" si="155"/>
        <v>9.6</v>
      </c>
      <c r="DI250" s="826"/>
      <c r="DJ250" s="788"/>
    </row>
    <row r="251" spans="1:114" s="783" customFormat="1" hidden="1">
      <c r="A251" s="177"/>
      <c r="B251" s="187" t="s">
        <v>200</v>
      </c>
      <c r="C251" s="837"/>
      <c r="D251" s="31"/>
      <c r="E251" s="31"/>
      <c r="F251" s="31"/>
      <c r="G251" s="31"/>
      <c r="H251" s="31"/>
      <c r="I251" s="31"/>
      <c r="J251" s="31"/>
      <c r="K251" s="31"/>
      <c r="L251" s="105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106"/>
      <c r="Z251" s="105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107"/>
      <c r="AL251" s="105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107"/>
      <c r="AX251" s="108"/>
      <c r="AY251" s="31"/>
      <c r="AZ251" s="109"/>
      <c r="BA251" s="62"/>
      <c r="BB251" s="62"/>
      <c r="BC251" s="62"/>
      <c r="BD251" s="62"/>
      <c r="BE251" s="110"/>
      <c r="BF251" s="109"/>
      <c r="BG251" s="62"/>
      <c r="BH251" s="62"/>
      <c r="BI251" s="110"/>
      <c r="BJ251" s="426"/>
      <c r="BK251" s="427"/>
      <c r="BL251" s="560"/>
      <c r="BM251" s="2"/>
      <c r="BN251" s="12"/>
      <c r="BO251" s="585"/>
      <c r="BP251" s="14"/>
      <c r="BQ251" s="15"/>
      <c r="BR251" s="563"/>
      <c r="BS251" s="17"/>
      <c r="BT251" s="14"/>
      <c r="BU251" s="15"/>
      <c r="BV251" s="563"/>
      <c r="BW251" s="17"/>
      <c r="BX251" s="18"/>
      <c r="BY251" s="19"/>
      <c r="BZ251" s="20"/>
      <c r="CA251" s="564"/>
      <c r="CB251" s="21"/>
      <c r="CC251" s="22"/>
      <c r="CD251" s="598"/>
      <c r="CE251" s="599"/>
      <c r="CF251" s="24"/>
      <c r="CG251" s="74"/>
      <c r="CH251" s="74"/>
      <c r="CI251" s="74"/>
      <c r="CJ251" s="74"/>
      <c r="CK251" s="74"/>
      <c r="CL251" s="74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31"/>
      <c r="DB251" s="31"/>
      <c r="DC251" s="31"/>
      <c r="DD251" s="31"/>
      <c r="DE251" s="31"/>
      <c r="DF251" s="108">
        <f t="shared" si="150"/>
        <v>0</v>
      </c>
      <c r="DG251" s="134">
        <f t="shared" si="155"/>
        <v>0</v>
      </c>
      <c r="DI251" s="826"/>
      <c r="DJ251" s="788"/>
    </row>
    <row r="252" spans="1:114" s="783" customFormat="1" hidden="1">
      <c r="A252" s="177"/>
      <c r="B252" s="187" t="s">
        <v>66</v>
      </c>
      <c r="C252" s="837" t="s">
        <v>54</v>
      </c>
      <c r="D252" s="31">
        <v>5</v>
      </c>
      <c r="E252" s="31">
        <v>5.5</v>
      </c>
      <c r="F252" s="31">
        <v>5.5</v>
      </c>
      <c r="G252" s="31">
        <v>5.5</v>
      </c>
      <c r="H252" s="31"/>
      <c r="I252" s="31"/>
      <c r="J252" s="31"/>
      <c r="K252" s="31"/>
      <c r="L252" s="105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106"/>
      <c r="Z252" s="105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107"/>
      <c r="AL252" s="105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107"/>
      <c r="AX252" s="108"/>
      <c r="AY252" s="31">
        <v>6.05</v>
      </c>
      <c r="AZ252" s="109"/>
      <c r="BA252" s="62">
        <v>4.7</v>
      </c>
      <c r="BB252" s="62"/>
      <c r="BC252" s="62"/>
      <c r="BD252" s="62"/>
      <c r="BE252" s="110"/>
      <c r="BF252" s="109"/>
      <c r="BG252" s="62"/>
      <c r="BH252" s="62"/>
      <c r="BI252" s="110"/>
      <c r="BJ252" s="426"/>
      <c r="BK252" s="427"/>
      <c r="BL252" s="560"/>
      <c r="BM252" s="2"/>
      <c r="BN252" s="12"/>
      <c r="BO252" s="585"/>
      <c r="BP252" s="14"/>
      <c r="BQ252" s="15"/>
      <c r="BR252" s="563"/>
      <c r="BS252" s="17"/>
      <c r="BT252" s="14"/>
      <c r="BU252" s="15"/>
      <c r="BV252" s="563"/>
      <c r="BW252" s="17"/>
      <c r="BX252" s="18"/>
      <c r="BY252" s="19"/>
      <c r="BZ252" s="20"/>
      <c r="CA252" s="564"/>
      <c r="CB252" s="21"/>
      <c r="CC252" s="22"/>
      <c r="CD252" s="598"/>
      <c r="CE252" s="599"/>
      <c r="CF252" s="24"/>
      <c r="CG252" s="74"/>
      <c r="CH252" s="74"/>
      <c r="CI252" s="74"/>
      <c r="CJ252" s="74"/>
      <c r="CK252" s="74"/>
      <c r="CL252" s="74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31">
        <v>5.5</v>
      </c>
      <c r="DB252" s="31">
        <v>5.5</v>
      </c>
      <c r="DC252" s="31">
        <v>5.5</v>
      </c>
      <c r="DD252" s="31">
        <v>1.07</v>
      </c>
      <c r="DE252" s="31">
        <v>5.5</v>
      </c>
      <c r="DF252" s="108">
        <f t="shared" si="150"/>
        <v>2.75</v>
      </c>
      <c r="DG252" s="134">
        <f t="shared" si="155"/>
        <v>2.75</v>
      </c>
      <c r="DI252" s="826"/>
      <c r="DJ252" s="788"/>
    </row>
    <row r="253" spans="1:114" s="783" customFormat="1" hidden="1">
      <c r="A253" s="177"/>
      <c r="B253" s="187" t="s">
        <v>59</v>
      </c>
      <c r="C253" s="837" t="s">
        <v>54</v>
      </c>
      <c r="D253" s="31">
        <v>7.6</v>
      </c>
      <c r="E253" s="31">
        <v>2</v>
      </c>
      <c r="F253" s="31">
        <v>2</v>
      </c>
      <c r="G253" s="31">
        <v>2</v>
      </c>
      <c r="H253" s="31"/>
      <c r="I253" s="31"/>
      <c r="J253" s="31"/>
      <c r="K253" s="31"/>
      <c r="L253" s="105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106"/>
      <c r="Z253" s="105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107"/>
      <c r="AL253" s="105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107"/>
      <c r="AX253" s="108"/>
      <c r="AY253" s="31"/>
      <c r="AZ253" s="109"/>
      <c r="BA253" s="62">
        <v>1.05</v>
      </c>
      <c r="BB253" s="62"/>
      <c r="BC253" s="62">
        <v>0.59</v>
      </c>
      <c r="BD253" s="62"/>
      <c r="BE253" s="110">
        <v>0.11</v>
      </c>
      <c r="BF253" s="109">
        <v>0.05</v>
      </c>
      <c r="BG253" s="62"/>
      <c r="BH253" s="62"/>
      <c r="BI253" s="110"/>
      <c r="BJ253" s="426"/>
      <c r="BK253" s="427"/>
      <c r="BL253" s="560"/>
      <c r="BM253" s="2"/>
      <c r="BN253" s="12"/>
      <c r="BO253" s="585"/>
      <c r="BP253" s="14"/>
      <c r="BQ253" s="15"/>
      <c r="BR253" s="563"/>
      <c r="BS253" s="17"/>
      <c r="BT253" s="14"/>
      <c r="BU253" s="15"/>
      <c r="BV253" s="563"/>
      <c r="BW253" s="17"/>
      <c r="BX253" s="18"/>
      <c r="BY253" s="19"/>
      <c r="BZ253" s="20"/>
      <c r="CA253" s="564"/>
      <c r="CB253" s="21"/>
      <c r="CC253" s="22"/>
      <c r="CD253" s="598"/>
      <c r="CE253" s="599"/>
      <c r="CF253" s="24"/>
      <c r="CG253" s="74"/>
      <c r="CH253" s="74"/>
      <c r="CI253" s="74"/>
      <c r="CJ253" s="74"/>
      <c r="CK253" s="74"/>
      <c r="CL253" s="74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31">
        <v>2</v>
      </c>
      <c r="DB253" s="31">
        <v>2</v>
      </c>
      <c r="DC253" s="31">
        <v>2</v>
      </c>
      <c r="DD253" s="31">
        <v>4</v>
      </c>
      <c r="DE253" s="31">
        <v>2</v>
      </c>
      <c r="DF253" s="108">
        <f t="shared" si="150"/>
        <v>1</v>
      </c>
      <c r="DG253" s="134">
        <f t="shared" si="155"/>
        <v>1</v>
      </c>
      <c r="DI253" s="826"/>
      <c r="DJ253" s="788"/>
    </row>
    <row r="254" spans="1:114" s="783" customFormat="1" hidden="1">
      <c r="A254" s="177"/>
      <c r="B254" s="187" t="s">
        <v>33</v>
      </c>
      <c r="C254" s="837" t="s">
        <v>54</v>
      </c>
      <c r="D254" s="31">
        <v>31.82</v>
      </c>
      <c r="E254" s="31">
        <v>15.3</v>
      </c>
      <c r="F254" s="31">
        <v>15.3</v>
      </c>
      <c r="G254" s="31">
        <v>15.3</v>
      </c>
      <c r="H254" s="31"/>
      <c r="I254" s="31"/>
      <c r="J254" s="31"/>
      <c r="K254" s="31"/>
      <c r="L254" s="105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106"/>
      <c r="Z254" s="105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107"/>
      <c r="AL254" s="105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107"/>
      <c r="AX254" s="108"/>
      <c r="AY254" s="31">
        <v>17.64</v>
      </c>
      <c r="AZ254" s="109"/>
      <c r="BA254" s="62">
        <v>10.65</v>
      </c>
      <c r="BB254" s="62"/>
      <c r="BC254" s="62">
        <v>4.3099999999999996</v>
      </c>
      <c r="BD254" s="62"/>
      <c r="BE254" s="110">
        <v>0.32</v>
      </c>
      <c r="BF254" s="109">
        <v>0.12</v>
      </c>
      <c r="BG254" s="62"/>
      <c r="BH254" s="62"/>
      <c r="BI254" s="110"/>
      <c r="BJ254" s="426"/>
      <c r="BK254" s="427"/>
      <c r="BL254" s="560"/>
      <c r="BM254" s="2"/>
      <c r="BN254" s="12"/>
      <c r="BO254" s="585"/>
      <c r="BP254" s="14"/>
      <c r="BQ254" s="15"/>
      <c r="BR254" s="563"/>
      <c r="BS254" s="17"/>
      <c r="BT254" s="14"/>
      <c r="BU254" s="15"/>
      <c r="BV254" s="563"/>
      <c r="BW254" s="17"/>
      <c r="BX254" s="18"/>
      <c r="BY254" s="19"/>
      <c r="BZ254" s="20"/>
      <c r="CA254" s="564"/>
      <c r="CB254" s="21"/>
      <c r="CC254" s="22"/>
      <c r="CD254" s="598"/>
      <c r="CE254" s="599"/>
      <c r="CF254" s="24"/>
      <c r="CG254" s="74"/>
      <c r="CH254" s="74"/>
      <c r="CI254" s="74"/>
      <c r="CJ254" s="74"/>
      <c r="CK254" s="74"/>
      <c r="CL254" s="74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31">
        <v>15.3</v>
      </c>
      <c r="DB254" s="31">
        <v>15.3</v>
      </c>
      <c r="DC254" s="31">
        <v>15.3</v>
      </c>
      <c r="DD254" s="31">
        <v>6.15</v>
      </c>
      <c r="DE254" s="31">
        <v>15.3</v>
      </c>
      <c r="DF254" s="108">
        <f t="shared" si="150"/>
        <v>7.65</v>
      </c>
      <c r="DG254" s="134">
        <f t="shared" si="155"/>
        <v>7.65</v>
      </c>
      <c r="DI254" s="826"/>
      <c r="DJ254" s="788"/>
    </row>
    <row r="255" spans="1:114" s="783" customFormat="1">
      <c r="A255" s="232" t="s">
        <v>271</v>
      </c>
      <c r="B255" s="166" t="s">
        <v>6</v>
      </c>
      <c r="C255" s="834" t="s">
        <v>54</v>
      </c>
      <c r="D255" s="108">
        <f>SUM(D256:D262)</f>
        <v>774.83999999999992</v>
      </c>
      <c r="E255" s="108">
        <f>SUM(E256:E262)</f>
        <v>714.3</v>
      </c>
      <c r="F255" s="108">
        <f>SUM(F256:F262)</f>
        <v>714.3</v>
      </c>
      <c r="G255" s="108">
        <f>SUM(G256:G262)</f>
        <v>714.3</v>
      </c>
      <c r="H255" s="234" t="e">
        <f>#REF!+#REF!</f>
        <v>#REF!</v>
      </c>
      <c r="I255" s="234" t="e">
        <f>#REF!+#REF!</f>
        <v>#REF!</v>
      </c>
      <c r="J255" s="234" t="e">
        <f>#REF!+#REF!</f>
        <v>#REF!</v>
      </c>
      <c r="K255" s="234" t="e">
        <f>#REF!+#REF!</f>
        <v>#REF!</v>
      </c>
      <c r="L255" s="235" t="e">
        <f>#REF!+#REF!</f>
        <v>#REF!</v>
      </c>
      <c r="M255" s="235" t="e">
        <f>#REF!+#REF!</f>
        <v>#REF!</v>
      </c>
      <c r="N255" s="235" t="e">
        <f>#REF!+#REF!</f>
        <v>#REF!</v>
      </c>
      <c r="O255" s="235" t="e">
        <f>#REF!+#REF!</f>
        <v>#REF!</v>
      </c>
      <c r="P255" s="235"/>
      <c r="Q255" s="235"/>
      <c r="R255" s="235">
        <v>136.47999999999999</v>
      </c>
      <c r="S255" s="235" t="e">
        <f>#REF!+#REF!</f>
        <v>#REF!</v>
      </c>
      <c r="T255" s="235" t="e">
        <f>#REF!+#REF!</f>
        <v>#REF!</v>
      </c>
      <c r="U255" s="235" t="e">
        <f>#REF!+#REF!</f>
        <v>#REF!</v>
      </c>
      <c r="V255" s="235"/>
      <c r="W255" s="235"/>
      <c r="X255" s="235" t="e">
        <f>O255-N255</f>
        <v>#REF!</v>
      </c>
      <c r="Y255" s="236" t="e">
        <f>O255/N255</f>
        <v>#REF!</v>
      </c>
      <c r="Z255" s="235" t="e">
        <f>#REF!+#REF!</f>
        <v>#REF!</v>
      </c>
      <c r="AA255" s="235" t="e">
        <f>#REF!+#REF!</f>
        <v>#REF!</v>
      </c>
      <c r="AB255" s="235" t="e">
        <f>#REF!+#REF!</f>
        <v>#REF!</v>
      </c>
      <c r="AC255" s="235" t="e">
        <f>#REF!+#REF!</f>
        <v>#REF!</v>
      </c>
      <c r="AD255" s="235" t="e">
        <f>#REF!+#REF!</f>
        <v>#REF!</v>
      </c>
      <c r="AE255" s="235" t="e">
        <f>#REF!+#REF!</f>
        <v>#REF!</v>
      </c>
      <c r="AF255" s="235" t="e">
        <f>#REF!+#REF!</f>
        <v>#REF!</v>
      </c>
      <c r="AG255" s="235" t="e">
        <f>#REF!+#REF!</f>
        <v>#REF!</v>
      </c>
      <c r="AH255" s="235"/>
      <c r="AI255" s="235"/>
      <c r="AJ255" s="235" t="e">
        <f>AC255-AB255</f>
        <v>#REF!</v>
      </c>
      <c r="AK255" s="237" t="e">
        <f>AC255/AB255</f>
        <v>#REF!</v>
      </c>
      <c r="AL255" s="235" t="e">
        <f>#REF!+#REF!</f>
        <v>#REF!</v>
      </c>
      <c r="AM255" s="235" t="e">
        <f>#REF!+#REF!</f>
        <v>#REF!</v>
      </c>
      <c r="AN255" s="235" t="e">
        <f>#REF!+#REF!</f>
        <v>#REF!</v>
      </c>
      <c r="AO255" s="235" t="e">
        <f>#REF!+#REF!</f>
        <v>#REF!</v>
      </c>
      <c r="AP255" s="235" t="e">
        <f>#REF!+#REF!</f>
        <v>#REF!</v>
      </c>
      <c r="AQ255" s="235" t="e">
        <f>#REF!+#REF!</f>
        <v>#REF!</v>
      </c>
      <c r="AR255" s="235" t="e">
        <f>#REF!+#REF!</f>
        <v>#REF!</v>
      </c>
      <c r="AS255" s="235" t="e">
        <f>#REF!+#REF!</f>
        <v>#REF!</v>
      </c>
      <c r="AT255" s="235"/>
      <c r="AU255" s="235"/>
      <c r="AV255" s="235" t="e">
        <f>AO255-AN255</f>
        <v>#REF!</v>
      </c>
      <c r="AW255" s="237" t="e">
        <f>AO255/AN255</f>
        <v>#REF!</v>
      </c>
      <c r="AX255" s="101">
        <f>G255/2</f>
        <v>357.15</v>
      </c>
      <c r="AY255" s="101">
        <f>SUM(AY256:AY262)</f>
        <v>653.88</v>
      </c>
      <c r="AZ255" s="238" t="e">
        <f>#REF!+#REF!</f>
        <v>#REF!</v>
      </c>
      <c r="BA255" s="239">
        <f>SUM(BA256:BA262)</f>
        <v>400.63</v>
      </c>
      <c r="BB255" s="239">
        <f t="shared" ref="BB255:BG255" si="160">SUM(BB256:BB262)</f>
        <v>0</v>
      </c>
      <c r="BC255" s="239">
        <f t="shared" si="160"/>
        <v>111.52000000000001</v>
      </c>
      <c r="BD255" s="239">
        <f t="shared" si="160"/>
        <v>0</v>
      </c>
      <c r="BE255" s="240">
        <f t="shared" si="160"/>
        <v>127.34</v>
      </c>
      <c r="BF255" s="238">
        <f t="shared" si="160"/>
        <v>71.31</v>
      </c>
      <c r="BG255" s="239">
        <f t="shared" si="160"/>
        <v>0.91</v>
      </c>
      <c r="BH255" s="239"/>
      <c r="BI255" s="240"/>
      <c r="BJ255" s="417" t="e">
        <f>BA255-AZ255</f>
        <v>#REF!</v>
      </c>
      <c r="BK255" s="545" t="e">
        <f>BA255/AZ255</f>
        <v>#REF!</v>
      </c>
      <c r="BL255" s="546"/>
      <c r="BM255" s="238" t="e">
        <f>#REF!+#REF!</f>
        <v>#REF!</v>
      </c>
      <c r="BN255" s="239"/>
      <c r="BO255" s="455"/>
      <c r="BP255" s="547"/>
      <c r="BQ255" s="548"/>
      <c r="BR255" s="549"/>
      <c r="BS255" s="550"/>
      <c r="BT255" s="547"/>
      <c r="BU255" s="548"/>
      <c r="BV255" s="549"/>
      <c r="BW255" s="550"/>
      <c r="BX255" s="551" t="e">
        <f>#REF!</f>
        <v>#REF!</v>
      </c>
      <c r="BY255" s="552">
        <f>F255</f>
        <v>714.3</v>
      </c>
      <c r="BZ255" s="553" t="e">
        <f>M255+BM255+BQ255+BU255</f>
        <v>#REF!</v>
      </c>
      <c r="CA255" s="548" t="e">
        <f>BZ255-BY255</f>
        <v>#REF!</v>
      </c>
      <c r="CB255" s="554" t="e">
        <f>BZ255/BY255</f>
        <v>#REF!</v>
      </c>
      <c r="CC255" s="309" t="e">
        <f>BZ255-E255</f>
        <v>#REF!</v>
      </c>
      <c r="CD255" s="555" t="e">
        <f>#REF!+#REF!</f>
        <v>#REF!</v>
      </c>
      <c r="CE255" s="556" t="e">
        <f>#REF!+#REF!</f>
        <v>#REF!</v>
      </c>
      <c r="CF255" s="557"/>
      <c r="CG255" s="558"/>
      <c r="CH255" s="558"/>
      <c r="CI255" s="558"/>
      <c r="CJ255" s="558"/>
      <c r="CK255" s="558"/>
      <c r="CL255" s="558"/>
      <c r="CM255" s="559"/>
      <c r="CN255" s="559"/>
      <c r="CO255" s="559"/>
      <c r="CP255" s="559"/>
      <c r="CQ255" s="559"/>
      <c r="CR255" s="559"/>
      <c r="CS255" s="559"/>
      <c r="CT255" s="559"/>
      <c r="CU255" s="559"/>
      <c r="CV255" s="559"/>
      <c r="CW255" s="559"/>
      <c r="CX255" s="559"/>
      <c r="CY255" s="559"/>
      <c r="CZ255" s="559"/>
      <c r="DA255" s="101">
        <v>1120.8800000000001</v>
      </c>
      <c r="DB255" s="101">
        <f>SUM(DB256:DB262)</f>
        <v>714.3</v>
      </c>
      <c r="DC255" s="108">
        <v>1602.7</v>
      </c>
      <c r="DD255" s="108">
        <v>1535.9</v>
      </c>
      <c r="DE255" s="57">
        <v>1641.07</v>
      </c>
      <c r="DF255" s="108">
        <v>820.54</v>
      </c>
      <c r="DG255" s="117">
        <v>820.53</v>
      </c>
      <c r="DI255" s="826"/>
      <c r="DJ255" s="788"/>
    </row>
    <row r="256" spans="1:114" s="783" customFormat="1" hidden="1">
      <c r="A256" s="177"/>
      <c r="B256" s="187" t="s">
        <v>31</v>
      </c>
      <c r="C256" s="837" t="s">
        <v>54</v>
      </c>
      <c r="D256" s="31">
        <v>676.37</v>
      </c>
      <c r="E256" s="31">
        <v>603.9</v>
      </c>
      <c r="F256" s="31">
        <v>603.9</v>
      </c>
      <c r="G256" s="31">
        <v>603.9</v>
      </c>
      <c r="H256" s="31"/>
      <c r="I256" s="31"/>
      <c r="J256" s="31"/>
      <c r="K256" s="31"/>
      <c r="L256" s="105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106"/>
      <c r="Z256" s="105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107"/>
      <c r="AL256" s="105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107"/>
      <c r="AX256" s="108"/>
      <c r="AY256" s="31">
        <v>545.11</v>
      </c>
      <c r="AZ256" s="109"/>
      <c r="BA256" s="62">
        <v>339.69</v>
      </c>
      <c r="BB256" s="62"/>
      <c r="BC256" s="62">
        <v>86.42</v>
      </c>
      <c r="BD256" s="62"/>
      <c r="BE256" s="110">
        <v>122.7</v>
      </c>
      <c r="BF256" s="109">
        <v>10.35</v>
      </c>
      <c r="BG256" s="62"/>
      <c r="BH256" s="62"/>
      <c r="BI256" s="110"/>
      <c r="BJ256" s="426"/>
      <c r="BK256" s="427"/>
      <c r="BL256" s="560"/>
      <c r="BM256" s="2"/>
      <c r="BN256" s="12"/>
      <c r="BO256" s="585"/>
      <c r="BP256" s="14"/>
      <c r="BQ256" s="15"/>
      <c r="BR256" s="563"/>
      <c r="BS256" s="17"/>
      <c r="BT256" s="14"/>
      <c r="BU256" s="15"/>
      <c r="BV256" s="563"/>
      <c r="BW256" s="17"/>
      <c r="BX256" s="18"/>
      <c r="BY256" s="19"/>
      <c r="BZ256" s="20"/>
      <c r="CA256" s="564"/>
      <c r="CB256" s="21"/>
      <c r="CC256" s="22"/>
      <c r="CD256" s="598"/>
      <c r="CE256" s="599"/>
      <c r="CF256" s="24"/>
      <c r="CG256" s="74"/>
      <c r="CH256" s="74"/>
      <c r="CI256" s="74"/>
      <c r="CJ256" s="74"/>
      <c r="CK256" s="74"/>
      <c r="CL256" s="74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31">
        <v>603.9</v>
      </c>
      <c r="DB256" s="31">
        <v>603.9</v>
      </c>
      <c r="DC256" s="31">
        <v>603.9</v>
      </c>
      <c r="DD256" s="31">
        <v>575.80999999999995</v>
      </c>
      <c r="DE256" s="31">
        <v>603.9</v>
      </c>
      <c r="DF256" s="31">
        <v>301.95</v>
      </c>
      <c r="DG256" s="134">
        <f>DF256</f>
        <v>301.95</v>
      </c>
      <c r="DI256" s="826"/>
      <c r="DJ256" s="788"/>
    </row>
    <row r="257" spans="1:114" s="783" customFormat="1" hidden="1">
      <c r="A257" s="177"/>
      <c r="B257" s="187" t="s">
        <v>55</v>
      </c>
      <c r="C257" s="837" t="s">
        <v>54</v>
      </c>
      <c r="D257" s="31"/>
      <c r="E257" s="31"/>
      <c r="F257" s="31"/>
      <c r="G257" s="31"/>
      <c r="H257" s="31"/>
      <c r="I257" s="31"/>
      <c r="J257" s="31"/>
      <c r="K257" s="31"/>
      <c r="L257" s="105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106"/>
      <c r="Z257" s="105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107"/>
      <c r="AL257" s="105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107"/>
      <c r="AX257" s="108"/>
      <c r="AY257" s="31"/>
      <c r="AZ257" s="109"/>
      <c r="BA257" s="62"/>
      <c r="BB257" s="62"/>
      <c r="BC257" s="62"/>
      <c r="BD257" s="62"/>
      <c r="BE257" s="110"/>
      <c r="BF257" s="109"/>
      <c r="BG257" s="62"/>
      <c r="BH257" s="62"/>
      <c r="BI257" s="110"/>
      <c r="BJ257" s="426"/>
      <c r="BK257" s="427"/>
      <c r="BL257" s="560"/>
      <c r="BM257" s="2"/>
      <c r="BN257" s="12"/>
      <c r="BO257" s="585"/>
      <c r="BP257" s="14"/>
      <c r="BQ257" s="15"/>
      <c r="BR257" s="563"/>
      <c r="BS257" s="17"/>
      <c r="BT257" s="14"/>
      <c r="BU257" s="15"/>
      <c r="BV257" s="563"/>
      <c r="BW257" s="17"/>
      <c r="BX257" s="18"/>
      <c r="BY257" s="19"/>
      <c r="BZ257" s="20"/>
      <c r="CA257" s="564"/>
      <c r="CB257" s="21"/>
      <c r="CC257" s="22"/>
      <c r="CD257" s="598"/>
      <c r="CE257" s="599"/>
      <c r="CF257" s="24"/>
      <c r="CG257" s="74"/>
      <c r="CH257" s="74"/>
      <c r="CI257" s="74"/>
      <c r="CJ257" s="74"/>
      <c r="CK257" s="74"/>
      <c r="CL257" s="74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31"/>
      <c r="DB257" s="31"/>
      <c r="DC257" s="31"/>
      <c r="DD257" s="31"/>
      <c r="DE257" s="31"/>
      <c r="DF257" s="31"/>
      <c r="DG257" s="134"/>
      <c r="DI257" s="826"/>
      <c r="DJ257" s="788"/>
    </row>
    <row r="258" spans="1:114" s="783" customFormat="1" hidden="1">
      <c r="A258" s="177"/>
      <c r="B258" s="187" t="s">
        <v>233</v>
      </c>
      <c r="C258" s="837"/>
      <c r="D258" s="31"/>
      <c r="E258" s="31"/>
      <c r="F258" s="31"/>
      <c r="G258" s="31"/>
      <c r="H258" s="31"/>
      <c r="I258" s="31"/>
      <c r="J258" s="31"/>
      <c r="K258" s="31"/>
      <c r="L258" s="105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106"/>
      <c r="Z258" s="105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107"/>
      <c r="AL258" s="105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107"/>
      <c r="AX258" s="108"/>
      <c r="AY258" s="31"/>
      <c r="AZ258" s="109"/>
      <c r="BA258" s="62"/>
      <c r="BB258" s="62"/>
      <c r="BC258" s="62"/>
      <c r="BD258" s="62"/>
      <c r="BE258" s="110"/>
      <c r="BF258" s="109"/>
      <c r="BG258" s="62">
        <v>0.91</v>
      </c>
      <c r="BH258" s="62"/>
      <c r="BI258" s="110"/>
      <c r="BJ258" s="426"/>
      <c r="BK258" s="427"/>
      <c r="BL258" s="560"/>
      <c r="BM258" s="2"/>
      <c r="BN258" s="12"/>
      <c r="BO258" s="585"/>
      <c r="BP258" s="14"/>
      <c r="BQ258" s="15"/>
      <c r="BR258" s="563"/>
      <c r="BS258" s="17"/>
      <c r="BT258" s="14"/>
      <c r="BU258" s="15"/>
      <c r="BV258" s="563"/>
      <c r="BW258" s="17"/>
      <c r="BX258" s="18"/>
      <c r="BY258" s="19"/>
      <c r="BZ258" s="20"/>
      <c r="CA258" s="564"/>
      <c r="CB258" s="21"/>
      <c r="CC258" s="22"/>
      <c r="CD258" s="598"/>
      <c r="CE258" s="599"/>
      <c r="CF258" s="24"/>
      <c r="CG258" s="74"/>
      <c r="CH258" s="74"/>
      <c r="CI258" s="74"/>
      <c r="CJ258" s="74"/>
      <c r="CK258" s="74"/>
      <c r="CL258" s="74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31"/>
      <c r="DB258" s="31"/>
      <c r="DC258" s="31"/>
      <c r="DD258" s="31"/>
      <c r="DE258" s="31"/>
      <c r="DF258" s="31"/>
      <c r="DG258" s="134"/>
      <c r="DI258" s="826"/>
      <c r="DJ258" s="788"/>
    </row>
    <row r="259" spans="1:114" s="783" customFormat="1" hidden="1">
      <c r="A259" s="177"/>
      <c r="B259" s="187" t="s">
        <v>186</v>
      </c>
      <c r="C259" s="837" t="s">
        <v>54</v>
      </c>
      <c r="D259" s="31"/>
      <c r="E259" s="31"/>
      <c r="F259" s="31"/>
      <c r="G259" s="31"/>
      <c r="H259" s="31"/>
      <c r="I259" s="31"/>
      <c r="J259" s="31"/>
      <c r="K259" s="31"/>
      <c r="L259" s="105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106"/>
      <c r="Z259" s="105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107"/>
      <c r="AL259" s="105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107"/>
      <c r="AX259" s="108"/>
      <c r="AY259" s="31"/>
      <c r="AZ259" s="109"/>
      <c r="BA259" s="62"/>
      <c r="BB259" s="62"/>
      <c r="BC259" s="62"/>
      <c r="BD259" s="62"/>
      <c r="BE259" s="110"/>
      <c r="BF259" s="109"/>
      <c r="BG259" s="62"/>
      <c r="BH259" s="62"/>
      <c r="BI259" s="110"/>
      <c r="BJ259" s="426"/>
      <c r="BK259" s="427"/>
      <c r="BL259" s="560"/>
      <c r="BM259" s="2"/>
      <c r="BN259" s="12"/>
      <c r="BO259" s="585"/>
      <c r="BP259" s="14"/>
      <c r="BQ259" s="15"/>
      <c r="BR259" s="563"/>
      <c r="BS259" s="17"/>
      <c r="BT259" s="14"/>
      <c r="BU259" s="15"/>
      <c r="BV259" s="563"/>
      <c r="BW259" s="17"/>
      <c r="BX259" s="18"/>
      <c r="BY259" s="19"/>
      <c r="BZ259" s="20"/>
      <c r="CA259" s="564"/>
      <c r="CB259" s="21"/>
      <c r="CC259" s="22"/>
      <c r="CD259" s="598"/>
      <c r="CE259" s="599"/>
      <c r="CF259" s="24"/>
      <c r="CG259" s="74"/>
      <c r="CH259" s="74"/>
      <c r="CI259" s="74"/>
      <c r="CJ259" s="74"/>
      <c r="CK259" s="74"/>
      <c r="CL259" s="74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31"/>
      <c r="DB259" s="31"/>
      <c r="DC259" s="31"/>
      <c r="DD259" s="31"/>
      <c r="DE259" s="31"/>
      <c r="DF259" s="31"/>
      <c r="DG259" s="134"/>
      <c r="DI259" s="826"/>
      <c r="DJ259" s="788"/>
    </row>
    <row r="260" spans="1:114" s="783" customFormat="1" hidden="1">
      <c r="A260" s="177"/>
      <c r="B260" s="187" t="s">
        <v>159</v>
      </c>
      <c r="C260" s="837" t="s">
        <v>54</v>
      </c>
      <c r="D260" s="31">
        <v>2.4</v>
      </c>
      <c r="E260" s="31">
        <v>2.4</v>
      </c>
      <c r="F260" s="31">
        <v>2.4</v>
      </c>
      <c r="G260" s="31">
        <v>2.4</v>
      </c>
      <c r="H260" s="31"/>
      <c r="I260" s="31"/>
      <c r="J260" s="31"/>
      <c r="K260" s="31"/>
      <c r="L260" s="105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106"/>
      <c r="Z260" s="105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107"/>
      <c r="AL260" s="105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107"/>
      <c r="AX260" s="108"/>
      <c r="AY260" s="31">
        <f>SUM(BA260,BC260,BE260)</f>
        <v>2.4000000000000004</v>
      </c>
      <c r="AZ260" s="109"/>
      <c r="BA260" s="62">
        <v>1.51</v>
      </c>
      <c r="BB260" s="62"/>
      <c r="BC260" s="62">
        <v>0.81</v>
      </c>
      <c r="BD260" s="62"/>
      <c r="BE260" s="110">
        <v>0.08</v>
      </c>
      <c r="BF260" s="109"/>
      <c r="BG260" s="62"/>
      <c r="BH260" s="62"/>
      <c r="BI260" s="110"/>
      <c r="BJ260" s="426"/>
      <c r="BK260" s="427"/>
      <c r="BL260" s="560"/>
      <c r="BM260" s="2"/>
      <c r="BN260" s="12"/>
      <c r="BO260" s="585"/>
      <c r="BP260" s="14"/>
      <c r="BQ260" s="15"/>
      <c r="BR260" s="563"/>
      <c r="BS260" s="17"/>
      <c r="BT260" s="14"/>
      <c r="BU260" s="15"/>
      <c r="BV260" s="563"/>
      <c r="BW260" s="17"/>
      <c r="BX260" s="18"/>
      <c r="BY260" s="19"/>
      <c r="BZ260" s="20"/>
      <c r="CA260" s="564"/>
      <c r="CB260" s="21"/>
      <c r="CC260" s="22"/>
      <c r="CD260" s="598"/>
      <c r="CE260" s="599"/>
      <c r="CF260" s="24"/>
      <c r="CG260" s="74"/>
      <c r="CH260" s="74"/>
      <c r="CI260" s="74"/>
      <c r="CJ260" s="74"/>
      <c r="CK260" s="74"/>
      <c r="CL260" s="74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31">
        <v>2.4</v>
      </c>
      <c r="DB260" s="31">
        <v>2.4</v>
      </c>
      <c r="DC260" s="31">
        <v>2.4</v>
      </c>
      <c r="DD260" s="31">
        <v>2.4</v>
      </c>
      <c r="DE260" s="31">
        <v>2.4</v>
      </c>
      <c r="DF260" s="31">
        <v>1.2</v>
      </c>
      <c r="DG260" s="134">
        <f>DF260</f>
        <v>1.2</v>
      </c>
      <c r="DI260" s="826"/>
      <c r="DJ260" s="788"/>
    </row>
    <row r="261" spans="1:114" s="783" customFormat="1" hidden="1">
      <c r="A261" s="177"/>
      <c r="B261" s="187" t="s">
        <v>7</v>
      </c>
      <c r="C261" s="837" t="s">
        <v>54</v>
      </c>
      <c r="D261" s="33">
        <v>53.14</v>
      </c>
      <c r="E261" s="33">
        <v>70</v>
      </c>
      <c r="F261" s="33">
        <v>70</v>
      </c>
      <c r="G261" s="33">
        <v>70</v>
      </c>
      <c r="H261" s="31"/>
      <c r="I261" s="31"/>
      <c r="J261" s="31"/>
      <c r="K261" s="31"/>
      <c r="L261" s="105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106"/>
      <c r="Z261" s="105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107"/>
      <c r="AL261" s="105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107"/>
      <c r="AX261" s="108"/>
      <c r="AY261" s="31">
        <v>106.37</v>
      </c>
      <c r="AZ261" s="109"/>
      <c r="BA261" s="62">
        <v>24.29</v>
      </c>
      <c r="BB261" s="62"/>
      <c r="BC261" s="62">
        <v>24.29</v>
      </c>
      <c r="BD261" s="62"/>
      <c r="BE261" s="110">
        <v>4.5599999999999996</v>
      </c>
      <c r="BF261" s="109">
        <v>60.96</v>
      </c>
      <c r="BG261" s="62"/>
      <c r="BH261" s="62"/>
      <c r="BI261" s="110"/>
      <c r="BJ261" s="426"/>
      <c r="BK261" s="427"/>
      <c r="BL261" s="560"/>
      <c r="BM261" s="2"/>
      <c r="BN261" s="12"/>
      <c r="BO261" s="585"/>
      <c r="BP261" s="14"/>
      <c r="BQ261" s="15"/>
      <c r="BR261" s="563"/>
      <c r="BS261" s="17"/>
      <c r="BT261" s="14"/>
      <c r="BU261" s="15"/>
      <c r="BV261" s="563"/>
      <c r="BW261" s="17"/>
      <c r="BX261" s="18"/>
      <c r="BY261" s="19"/>
      <c r="BZ261" s="20"/>
      <c r="CA261" s="564"/>
      <c r="CB261" s="21"/>
      <c r="CC261" s="22"/>
      <c r="CD261" s="598"/>
      <c r="CE261" s="599"/>
      <c r="CF261" s="24"/>
      <c r="CG261" s="74"/>
      <c r="CH261" s="74"/>
      <c r="CI261" s="74"/>
      <c r="CJ261" s="74"/>
      <c r="CK261" s="74"/>
      <c r="CL261" s="74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31">
        <v>70</v>
      </c>
      <c r="DB261" s="31">
        <v>70</v>
      </c>
      <c r="DC261" s="33">
        <v>70</v>
      </c>
      <c r="DD261" s="33">
        <v>72.099999999999994</v>
      </c>
      <c r="DE261" s="767">
        <v>78.91</v>
      </c>
      <c r="DF261" s="767">
        <v>39.450000000000003</v>
      </c>
      <c r="DG261" s="134">
        <f>DF261</f>
        <v>39.450000000000003</v>
      </c>
      <c r="DH261" s="835"/>
      <c r="DI261" s="826"/>
      <c r="DJ261" s="788"/>
    </row>
    <row r="262" spans="1:114" s="783" customFormat="1" hidden="1">
      <c r="A262" s="267"/>
      <c r="B262" s="268" t="s">
        <v>166</v>
      </c>
      <c r="C262" s="837" t="s">
        <v>54</v>
      </c>
      <c r="D262" s="270">
        <v>42.93</v>
      </c>
      <c r="E262" s="270">
        <v>38</v>
      </c>
      <c r="F262" s="270">
        <v>38</v>
      </c>
      <c r="G262" s="270">
        <v>38</v>
      </c>
      <c r="H262" s="270"/>
      <c r="I262" s="270"/>
      <c r="J262" s="270"/>
      <c r="K262" s="270"/>
      <c r="L262" s="271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  <c r="X262" s="270"/>
      <c r="Y262" s="272"/>
      <c r="Z262" s="271"/>
      <c r="AA262" s="270"/>
      <c r="AB262" s="270"/>
      <c r="AC262" s="270"/>
      <c r="AD262" s="270"/>
      <c r="AE262" s="270"/>
      <c r="AF262" s="270"/>
      <c r="AG262" s="270"/>
      <c r="AH262" s="270"/>
      <c r="AI262" s="270"/>
      <c r="AJ262" s="270"/>
      <c r="AK262" s="273"/>
      <c r="AL262" s="271"/>
      <c r="AM262" s="270"/>
      <c r="AN262" s="270"/>
      <c r="AO262" s="270"/>
      <c r="AP262" s="270"/>
      <c r="AQ262" s="270"/>
      <c r="AR262" s="270"/>
      <c r="AS262" s="270"/>
      <c r="AT262" s="270"/>
      <c r="AU262" s="270"/>
      <c r="AV262" s="270"/>
      <c r="AW262" s="273"/>
      <c r="AX262" s="274"/>
      <c r="AY262" s="31"/>
      <c r="AZ262" s="275"/>
      <c r="BA262" s="276">
        <v>35.14</v>
      </c>
      <c r="BB262" s="276"/>
      <c r="BC262" s="276"/>
      <c r="BD262" s="276"/>
      <c r="BE262" s="110"/>
      <c r="BF262" s="275"/>
      <c r="BG262" s="276"/>
      <c r="BH262" s="276"/>
      <c r="BI262" s="600"/>
      <c r="BJ262" s="601"/>
      <c r="BK262" s="602"/>
      <c r="BL262" s="603"/>
      <c r="BM262" s="275"/>
      <c r="BN262" s="276"/>
      <c r="BO262" s="604"/>
      <c r="BP262" s="605"/>
      <c r="BQ262" s="606"/>
      <c r="BR262" s="607"/>
      <c r="BS262" s="608"/>
      <c r="BT262" s="605"/>
      <c r="BU262" s="606"/>
      <c r="BV262" s="607"/>
      <c r="BW262" s="608"/>
      <c r="BX262" s="609"/>
      <c r="BY262" s="610"/>
      <c r="BZ262" s="83"/>
      <c r="CA262" s="611"/>
      <c r="CB262" s="612"/>
      <c r="CC262" s="269"/>
      <c r="CD262" s="613"/>
      <c r="CE262" s="614"/>
      <c r="CF262" s="615"/>
      <c r="CG262" s="616"/>
      <c r="CH262" s="616"/>
      <c r="CI262" s="616"/>
      <c r="CJ262" s="616"/>
      <c r="CK262" s="616"/>
      <c r="CL262" s="616"/>
      <c r="CM262" s="617"/>
      <c r="CN262" s="617"/>
      <c r="CO262" s="617"/>
      <c r="CP262" s="617"/>
      <c r="CQ262" s="617"/>
      <c r="CR262" s="617"/>
      <c r="CS262" s="617"/>
      <c r="CT262" s="617"/>
      <c r="CU262" s="617"/>
      <c r="CV262" s="617"/>
      <c r="CW262" s="617"/>
      <c r="CX262" s="617"/>
      <c r="CY262" s="617"/>
      <c r="CZ262" s="617"/>
      <c r="DA262" s="31">
        <v>38</v>
      </c>
      <c r="DB262" s="31">
        <v>38</v>
      </c>
      <c r="DC262" s="270">
        <v>128</v>
      </c>
      <c r="DD262" s="270">
        <v>49.83</v>
      </c>
      <c r="DE262" s="772">
        <v>78</v>
      </c>
      <c r="DF262" s="772">
        <v>78</v>
      </c>
      <c r="DG262" s="134">
        <f>DF262</f>
        <v>78</v>
      </c>
      <c r="DH262" s="835"/>
      <c r="DI262" s="826"/>
      <c r="DJ262" s="788"/>
    </row>
    <row r="263" spans="1:114" s="783" customFormat="1" hidden="1">
      <c r="A263" s="208">
        <v>8</v>
      </c>
      <c r="B263" s="160" t="s">
        <v>70</v>
      </c>
      <c r="C263" s="843" t="s">
        <v>54</v>
      </c>
      <c r="D263" s="117">
        <f>SUM(D264,D266,D271,D274,D289,D291,D293)</f>
        <v>0</v>
      </c>
      <c r="E263" s="117">
        <f>SUM(E264,E266,E271,E274,E289,E291,E293)</f>
        <v>0</v>
      </c>
      <c r="F263" s="117">
        <f>SUM(F264,F266,F271,F274,F289,F291,F293)</f>
        <v>0</v>
      </c>
      <c r="G263" s="117">
        <f>SUM(G264,G266,G271,G274,G289,G291,G293)</f>
        <v>0</v>
      </c>
      <c r="H263" s="277"/>
      <c r="I263" s="277"/>
      <c r="J263" s="277"/>
      <c r="K263" s="277"/>
      <c r="L263" s="277"/>
      <c r="M263" s="117">
        <f>M264+M266+M274+M289+M291+M293</f>
        <v>185.20255</v>
      </c>
      <c r="N263" s="117"/>
      <c r="O263" s="117"/>
      <c r="P263" s="117"/>
      <c r="Q263" s="117"/>
      <c r="R263" s="117"/>
      <c r="S263" s="117"/>
      <c r="T263" s="117"/>
      <c r="U263" s="117"/>
      <c r="V263" s="117"/>
      <c r="W263" s="117">
        <f>W264+W266+W274+W289+W291+W293</f>
        <v>185.20000000000002</v>
      </c>
      <c r="X263" s="277"/>
      <c r="Y263" s="119"/>
      <c r="Z263" s="277"/>
      <c r="AA263" s="117">
        <f>AA264+AA266+AA274+AA289+AA291+AA293</f>
        <v>205.85549</v>
      </c>
      <c r="AB263" s="117"/>
      <c r="AC263" s="117"/>
      <c r="AD263" s="117"/>
      <c r="AE263" s="117"/>
      <c r="AF263" s="117"/>
      <c r="AG263" s="117"/>
      <c r="AH263" s="117"/>
      <c r="AI263" s="117">
        <f>AI264+AI266+AI274+AI289+AI291+AI293</f>
        <v>0</v>
      </c>
      <c r="AJ263" s="277"/>
      <c r="AK263" s="120"/>
      <c r="AL263" s="277"/>
      <c r="AM263" s="117">
        <f>AM264+AM266+AM274+AM289+AM291+AM293</f>
        <v>205.85549</v>
      </c>
      <c r="AN263" s="117"/>
      <c r="AO263" s="117"/>
      <c r="AP263" s="117"/>
      <c r="AQ263" s="117"/>
      <c r="AR263" s="117"/>
      <c r="AS263" s="117"/>
      <c r="AT263" s="117"/>
      <c r="AU263" s="117">
        <f>AU264+AU266+AU274+AU289+AU291+AU293</f>
        <v>0</v>
      </c>
      <c r="AV263" s="277"/>
      <c r="AW263" s="120"/>
      <c r="AX263" s="117">
        <v>1122.8499999999999</v>
      </c>
      <c r="AY263" s="117">
        <f>AY264+AY266+AY274+AY289+AY291+AY293+AY271</f>
        <v>0</v>
      </c>
      <c r="AZ263" s="121"/>
      <c r="BA263" s="122"/>
      <c r="BB263" s="122"/>
      <c r="BC263" s="122"/>
      <c r="BD263" s="122"/>
      <c r="BE263" s="123"/>
      <c r="BF263" s="121">
        <f>BF266+BF264+BF274</f>
        <v>257.25414000000001</v>
      </c>
      <c r="BG263" s="122"/>
      <c r="BH263" s="122">
        <f>BH264+BH266+BH274+BH289+BH291+BH293+BH271</f>
        <v>-247.29414</v>
      </c>
      <c r="BI263" s="123"/>
      <c r="BJ263" s="288"/>
      <c r="BK263" s="407"/>
      <c r="BL263" s="618"/>
      <c r="BM263" s="121">
        <f>BM264+BM266+BM274+BM289+BM291+BM293</f>
        <v>205.85549</v>
      </c>
      <c r="BN263" s="122"/>
      <c r="BO263" s="409"/>
      <c r="BP263" s="448"/>
      <c r="BQ263" s="516"/>
      <c r="BR263" s="619"/>
      <c r="BS263" s="518"/>
      <c r="BT263" s="448"/>
      <c r="BU263" s="516"/>
      <c r="BV263" s="619"/>
      <c r="BW263" s="518"/>
      <c r="BX263" s="411"/>
      <c r="BY263" s="449"/>
      <c r="BZ263" s="209">
        <f>BZ264+BZ266+BZ274+BZ289+BZ291+BZ293</f>
        <v>391.05803999999995</v>
      </c>
      <c r="CA263" s="620"/>
      <c r="CB263" s="515"/>
      <c r="CC263" s="414">
        <f>BZ263-E263</f>
        <v>391.05803999999995</v>
      </c>
      <c r="CD263" s="621">
        <v>0</v>
      </c>
      <c r="CE263" s="622">
        <v>21.65</v>
      </c>
      <c r="CF263" s="519">
        <f>CF264+CF266+CF274+CF289+CF291+CF293</f>
        <v>627.39329999999995</v>
      </c>
      <c r="CG263" s="450"/>
      <c r="CH263" s="450"/>
      <c r="CI263" s="450"/>
      <c r="CJ263" s="450"/>
      <c r="CK263" s="450"/>
      <c r="CL263" s="450"/>
      <c r="CM263" s="451"/>
      <c r="CN263" s="451"/>
      <c r="CO263" s="451"/>
      <c r="CP263" s="451"/>
      <c r="CQ263" s="451"/>
      <c r="CR263" s="451"/>
      <c r="CS263" s="451"/>
      <c r="CT263" s="451"/>
      <c r="CU263" s="451"/>
      <c r="CV263" s="451"/>
      <c r="CW263" s="451"/>
      <c r="CX263" s="451"/>
      <c r="CY263" s="451"/>
      <c r="CZ263" s="451"/>
      <c r="DA263" s="117">
        <f>DA264+DA266+DA274+DA289+DA291+DA293+DA271</f>
        <v>0</v>
      </c>
      <c r="DB263" s="117">
        <f>DB264+DB266+DB274+DB289+DB291+DB293+DB271</f>
        <v>0</v>
      </c>
      <c r="DC263" s="117">
        <f>SUM(DC264,DC266,DC271,DC274,DC289,DC291,DC293)</f>
        <v>0</v>
      </c>
      <c r="DD263" s="117">
        <f>SUM(DD264,DD266,DD271,DD274,DD289,DD291,DD293)</f>
        <v>0</v>
      </c>
      <c r="DE263" s="117">
        <f>SUM(DE264,DE266,DE271,DE274,DE289,DE291,DE293)</f>
        <v>0</v>
      </c>
      <c r="DF263" s="117">
        <f>SUM(DF264,DF266,DF271,DF274,DF289,DF291,DF293)</f>
        <v>0</v>
      </c>
      <c r="DG263" s="117">
        <f>SUM(DG264,DG266,DG271,DG274,DG289,DG291,DG293)</f>
        <v>0</v>
      </c>
      <c r="DI263" s="826"/>
      <c r="DJ263" s="788"/>
    </row>
    <row r="264" spans="1:114" s="783" customFormat="1" hidden="1">
      <c r="A264" s="278" t="s">
        <v>142</v>
      </c>
      <c r="B264" s="248" t="s">
        <v>115</v>
      </c>
      <c r="C264" s="844" t="s">
        <v>54</v>
      </c>
      <c r="D264" s="173"/>
      <c r="E264" s="173"/>
      <c r="F264" s="173"/>
      <c r="G264" s="173"/>
      <c r="H264" s="279"/>
      <c r="I264" s="279"/>
      <c r="J264" s="279"/>
      <c r="K264" s="279"/>
      <c r="L264" s="279"/>
      <c r="M264" s="169">
        <f>SUM(M265)</f>
        <v>11.49</v>
      </c>
      <c r="N264" s="169"/>
      <c r="O264" s="169"/>
      <c r="P264" s="169"/>
      <c r="Q264" s="169"/>
      <c r="R264" s="169"/>
      <c r="S264" s="169"/>
      <c r="T264" s="169"/>
      <c r="U264" s="169"/>
      <c r="V264" s="169"/>
      <c r="W264" s="169">
        <f>SUM(W265)</f>
        <v>11.49</v>
      </c>
      <c r="X264" s="279"/>
      <c r="Y264" s="280"/>
      <c r="Z264" s="279"/>
      <c r="AA264" s="169">
        <f>SUM(AA265)</f>
        <v>11.494</v>
      </c>
      <c r="AB264" s="169"/>
      <c r="AC264" s="169"/>
      <c r="AD264" s="169"/>
      <c r="AE264" s="169"/>
      <c r="AF264" s="169"/>
      <c r="AG264" s="169"/>
      <c r="AH264" s="169"/>
      <c r="AI264" s="169">
        <f>SUM(AI265)</f>
        <v>0</v>
      </c>
      <c r="AJ264" s="279"/>
      <c r="AK264" s="281"/>
      <c r="AL264" s="279"/>
      <c r="AM264" s="169">
        <f>SUM(AM265)</f>
        <v>11.494</v>
      </c>
      <c r="AN264" s="169"/>
      <c r="AO264" s="169"/>
      <c r="AP264" s="169"/>
      <c r="AQ264" s="169"/>
      <c r="AR264" s="169"/>
      <c r="AS264" s="169"/>
      <c r="AT264" s="169"/>
      <c r="AU264" s="169">
        <f>SUM(AU265)</f>
        <v>0</v>
      </c>
      <c r="AV264" s="279"/>
      <c r="AW264" s="281"/>
      <c r="AX264" s="101">
        <v>68.959999999999994</v>
      </c>
      <c r="AY264" s="167"/>
      <c r="AZ264" s="174"/>
      <c r="BA264" s="175"/>
      <c r="BB264" s="175"/>
      <c r="BC264" s="175"/>
      <c r="BD264" s="175"/>
      <c r="BE264" s="176"/>
      <c r="BF264" s="174">
        <v>17.399999999999999</v>
      </c>
      <c r="BG264" s="175"/>
      <c r="BH264" s="175">
        <f>SUM(BH265)</f>
        <v>-17.399999999999999</v>
      </c>
      <c r="BI264" s="176"/>
      <c r="BJ264" s="417">
        <f t="shared" ref="BJ264:BJ270" si="161">BA264-AZ264</f>
        <v>0</v>
      </c>
      <c r="BK264" s="418"/>
      <c r="BL264" s="623"/>
      <c r="BM264" s="624">
        <f>SUM(BM265)</f>
        <v>11.494</v>
      </c>
      <c r="BN264" s="175"/>
      <c r="BO264" s="455"/>
      <c r="BP264" s="625"/>
      <c r="BQ264" s="626"/>
      <c r="BR264" s="627"/>
      <c r="BS264" s="628"/>
      <c r="BT264" s="625"/>
      <c r="BU264" s="626"/>
      <c r="BV264" s="627"/>
      <c r="BW264" s="628"/>
      <c r="BX264" s="629"/>
      <c r="BY264" s="630"/>
      <c r="BZ264" s="631">
        <f>SUM(BZ265)</f>
        <v>22.984000000000002</v>
      </c>
      <c r="CA264" s="632"/>
      <c r="CB264" s="633"/>
      <c r="CC264" s="93">
        <f>BZ264-E264</f>
        <v>22.984000000000002</v>
      </c>
      <c r="CD264" s="634"/>
      <c r="CE264" s="635"/>
      <c r="CF264" s="636">
        <f>SUM(CF265)</f>
        <v>137.91999999999999</v>
      </c>
      <c r="CG264" s="465"/>
      <c r="CH264" s="465"/>
      <c r="CI264" s="465"/>
      <c r="CJ264" s="465"/>
      <c r="CK264" s="465"/>
      <c r="CL264" s="465"/>
      <c r="CM264" s="466"/>
      <c r="CN264" s="466"/>
      <c r="CO264" s="466"/>
      <c r="CP264" s="466"/>
      <c r="CQ264" s="466"/>
      <c r="CR264" s="466"/>
      <c r="CS264" s="466"/>
      <c r="CT264" s="466"/>
      <c r="CU264" s="466"/>
      <c r="CV264" s="466"/>
      <c r="CW264" s="466"/>
      <c r="CX264" s="466"/>
      <c r="CY264" s="466"/>
      <c r="CZ264" s="466"/>
      <c r="DA264" s="167"/>
      <c r="DB264" s="167"/>
      <c r="DC264" s="173"/>
      <c r="DD264" s="173"/>
      <c r="DE264" s="173"/>
      <c r="DF264" s="173"/>
      <c r="DG264" s="180"/>
      <c r="DI264" s="826"/>
      <c r="DJ264" s="788"/>
    </row>
    <row r="265" spans="1:114" s="783" customFormat="1" hidden="1">
      <c r="A265" s="194"/>
      <c r="B265" s="195" t="s">
        <v>27</v>
      </c>
      <c r="C265" s="840" t="s">
        <v>54</v>
      </c>
      <c r="D265" s="78"/>
      <c r="E265" s="78"/>
      <c r="F265" s="78"/>
      <c r="G265" s="78"/>
      <c r="H265" s="242"/>
      <c r="I265" s="242"/>
      <c r="J265" s="242"/>
      <c r="K265" s="242"/>
      <c r="L265" s="242"/>
      <c r="M265" s="134">
        <v>11.49</v>
      </c>
      <c r="N265" s="134"/>
      <c r="O265" s="134"/>
      <c r="P265" s="134"/>
      <c r="Q265" s="134"/>
      <c r="R265" s="134"/>
      <c r="S265" s="134"/>
      <c r="T265" s="134"/>
      <c r="U265" s="134"/>
      <c r="V265" s="134"/>
      <c r="W265" s="134">
        <v>11.49</v>
      </c>
      <c r="X265" s="242"/>
      <c r="Y265" s="155"/>
      <c r="Z265" s="242"/>
      <c r="AA265" s="134">
        <v>11.494</v>
      </c>
      <c r="AB265" s="134"/>
      <c r="AC265" s="134"/>
      <c r="AD265" s="134"/>
      <c r="AE265" s="134"/>
      <c r="AF265" s="134"/>
      <c r="AG265" s="134"/>
      <c r="AH265" s="134"/>
      <c r="AI265" s="134"/>
      <c r="AJ265" s="242"/>
      <c r="AK265" s="156"/>
      <c r="AL265" s="242"/>
      <c r="AM265" s="134">
        <v>11.494</v>
      </c>
      <c r="AN265" s="134"/>
      <c r="AO265" s="134"/>
      <c r="AP265" s="134"/>
      <c r="AQ265" s="134"/>
      <c r="AR265" s="134"/>
      <c r="AS265" s="134"/>
      <c r="AT265" s="134"/>
      <c r="AU265" s="134"/>
      <c r="AV265" s="242"/>
      <c r="AW265" s="156"/>
      <c r="AX265" s="108"/>
      <c r="AY265" s="31"/>
      <c r="AZ265" s="109"/>
      <c r="BA265" s="62"/>
      <c r="BB265" s="62"/>
      <c r="BC265" s="62"/>
      <c r="BD265" s="62"/>
      <c r="BE265" s="110"/>
      <c r="BF265" s="109">
        <v>17.399999999999999</v>
      </c>
      <c r="BG265" s="62"/>
      <c r="BH265" s="62">
        <f>AY265-BF265</f>
        <v>-17.399999999999999</v>
      </c>
      <c r="BI265" s="110"/>
      <c r="BJ265" s="426">
        <f t="shared" si="161"/>
        <v>0</v>
      </c>
      <c r="BK265" s="427"/>
      <c r="BL265" s="560"/>
      <c r="BM265" s="149">
        <v>11.494</v>
      </c>
      <c r="BN265" s="62"/>
      <c r="BO265" s="470"/>
      <c r="BP265" s="485"/>
      <c r="BQ265" s="483"/>
      <c r="BR265" s="486"/>
      <c r="BS265" s="487"/>
      <c r="BT265" s="485"/>
      <c r="BU265" s="483"/>
      <c r="BV265" s="486"/>
      <c r="BW265" s="487"/>
      <c r="BX265" s="440"/>
      <c r="BY265" s="488"/>
      <c r="BZ265" s="489">
        <f>M265+BM265+BQ265+BU265</f>
        <v>22.984000000000002</v>
      </c>
      <c r="CA265" s="490"/>
      <c r="CB265" s="491"/>
      <c r="CC265" s="72">
        <f>BZ265-E265</f>
        <v>22.984000000000002</v>
      </c>
      <c r="CD265" s="562"/>
      <c r="CE265" s="561"/>
      <c r="CF265" s="492">
        <v>137.91999999999999</v>
      </c>
      <c r="CG265" s="74"/>
      <c r="CH265" s="74"/>
      <c r="CI265" s="74"/>
      <c r="CJ265" s="74"/>
      <c r="CK265" s="74"/>
      <c r="CL265" s="74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  <c r="CZ265" s="75"/>
      <c r="DA265" s="31"/>
      <c r="DB265" s="31"/>
      <c r="DC265" s="78"/>
      <c r="DD265" s="78"/>
      <c r="DE265" s="78"/>
      <c r="DF265" s="78"/>
      <c r="DG265" s="134"/>
      <c r="DI265" s="826"/>
      <c r="DJ265" s="788"/>
    </row>
    <row r="266" spans="1:114" s="783" customFormat="1" hidden="1">
      <c r="A266" s="194" t="s">
        <v>143</v>
      </c>
      <c r="B266" s="199" t="s">
        <v>2</v>
      </c>
      <c r="C266" s="840" t="s">
        <v>54</v>
      </c>
      <c r="D266" s="179"/>
      <c r="E266" s="179"/>
      <c r="F266" s="179"/>
      <c r="G266" s="179"/>
      <c r="H266" s="283"/>
      <c r="I266" s="283"/>
      <c r="J266" s="283"/>
      <c r="K266" s="283"/>
      <c r="L266" s="283"/>
      <c r="M266" s="180">
        <f>M267+M270</f>
        <v>163.94254999999998</v>
      </c>
      <c r="N266" s="180"/>
      <c r="O266" s="180"/>
      <c r="P266" s="180"/>
      <c r="Q266" s="180"/>
      <c r="R266" s="180"/>
      <c r="S266" s="180"/>
      <c r="T266" s="180"/>
      <c r="U266" s="180"/>
      <c r="V266" s="180"/>
      <c r="W266" s="180">
        <f>W267+W270</f>
        <v>163.94</v>
      </c>
      <c r="X266" s="283"/>
      <c r="Y266" s="284"/>
      <c r="Z266" s="283"/>
      <c r="AA266" s="180">
        <f>AA267+AA270</f>
        <v>167.40074999999999</v>
      </c>
      <c r="AB266" s="180"/>
      <c r="AC266" s="180"/>
      <c r="AD266" s="180"/>
      <c r="AE266" s="180"/>
      <c r="AF266" s="180"/>
      <c r="AG266" s="180"/>
      <c r="AH266" s="180"/>
      <c r="AI266" s="180">
        <f>AI267+AI270</f>
        <v>0</v>
      </c>
      <c r="AJ266" s="283"/>
      <c r="AK266" s="285"/>
      <c r="AL266" s="283"/>
      <c r="AM266" s="180">
        <f>AM267+AM270</f>
        <v>167.40074999999999</v>
      </c>
      <c r="AN266" s="180"/>
      <c r="AO266" s="180"/>
      <c r="AP266" s="180"/>
      <c r="AQ266" s="180"/>
      <c r="AR266" s="180"/>
      <c r="AS266" s="180"/>
      <c r="AT266" s="180"/>
      <c r="AU266" s="180">
        <f>AU267+AU270</f>
        <v>0</v>
      </c>
      <c r="AV266" s="283"/>
      <c r="AW266" s="285"/>
      <c r="AX266" s="108">
        <v>923.86</v>
      </c>
      <c r="AY266" s="179"/>
      <c r="AZ266" s="184"/>
      <c r="BA266" s="185"/>
      <c r="BB266" s="185"/>
      <c r="BC266" s="185"/>
      <c r="BD266" s="185"/>
      <c r="BE266" s="186"/>
      <c r="BF266" s="184">
        <f>BF267+BF270</f>
        <v>239.85414</v>
      </c>
      <c r="BG266" s="185"/>
      <c r="BH266" s="185">
        <f>BH267+BH270</f>
        <v>-239.85414</v>
      </c>
      <c r="BI266" s="186"/>
      <c r="BJ266" s="426">
        <f t="shared" si="161"/>
        <v>0</v>
      </c>
      <c r="BK266" s="427"/>
      <c r="BL266" s="637"/>
      <c r="BM266" s="204">
        <f>BM267+BM270</f>
        <v>167.40074999999999</v>
      </c>
      <c r="BN266" s="185"/>
      <c r="BO266" s="470"/>
      <c r="BP266" s="496"/>
      <c r="BQ266" s="495"/>
      <c r="BR266" s="497"/>
      <c r="BS266" s="498"/>
      <c r="BT266" s="496"/>
      <c r="BU266" s="495"/>
      <c r="BV266" s="497"/>
      <c r="BW266" s="498"/>
      <c r="BX266" s="499"/>
      <c r="BY266" s="500"/>
      <c r="BZ266" s="501">
        <f>SUM(BZ267:BZ270)</f>
        <v>331.34329999999994</v>
      </c>
      <c r="CA266" s="502"/>
      <c r="CB266" s="503"/>
      <c r="CC266" s="72">
        <f>BZ266-E266</f>
        <v>331.34329999999994</v>
      </c>
      <c r="CD266" s="638"/>
      <c r="CE266" s="639">
        <f>SUM(CE267:CE270)</f>
        <v>21.65</v>
      </c>
      <c r="CF266" s="505">
        <f>SUM(CF267:CF270)</f>
        <v>309.69329999999997</v>
      </c>
      <c r="CG266" s="465"/>
      <c r="CH266" s="465"/>
      <c r="CI266" s="465"/>
      <c r="CJ266" s="465"/>
      <c r="CK266" s="465"/>
      <c r="CL266" s="465"/>
      <c r="CM266" s="466"/>
      <c r="CN266" s="466"/>
      <c r="CO266" s="466"/>
      <c r="CP266" s="466"/>
      <c r="CQ266" s="466"/>
      <c r="CR266" s="466"/>
      <c r="CS266" s="466"/>
      <c r="CT266" s="466"/>
      <c r="CU266" s="466"/>
      <c r="CV266" s="466"/>
      <c r="CW266" s="466"/>
      <c r="CX266" s="466"/>
      <c r="CY266" s="466"/>
      <c r="CZ266" s="466"/>
      <c r="DA266" s="179"/>
      <c r="DB266" s="179"/>
      <c r="DC266" s="179"/>
      <c r="DD266" s="179"/>
      <c r="DE266" s="179"/>
      <c r="DF266" s="179"/>
      <c r="DG266" s="180"/>
      <c r="DI266" s="826"/>
      <c r="DJ266" s="788"/>
    </row>
    <row r="267" spans="1:114" s="783" customFormat="1" hidden="1">
      <c r="A267" s="194"/>
      <c r="B267" s="195" t="s">
        <v>3</v>
      </c>
      <c r="C267" s="840" t="s">
        <v>54</v>
      </c>
      <c r="D267" s="31"/>
      <c r="E267" s="31"/>
      <c r="F267" s="31"/>
      <c r="G267" s="31"/>
      <c r="H267" s="242"/>
      <c r="I267" s="242"/>
      <c r="J267" s="242"/>
      <c r="K267" s="242"/>
      <c r="L267" s="242"/>
      <c r="M267" s="134">
        <v>136.27811</v>
      </c>
      <c r="N267" s="134"/>
      <c r="O267" s="134"/>
      <c r="P267" s="134"/>
      <c r="Q267" s="134"/>
      <c r="R267" s="134"/>
      <c r="S267" s="134"/>
      <c r="T267" s="134"/>
      <c r="U267" s="134"/>
      <c r="V267" s="134"/>
      <c r="W267" s="134">
        <v>136.28</v>
      </c>
      <c r="X267" s="242"/>
      <c r="Y267" s="155"/>
      <c r="Z267" s="242"/>
      <c r="AA267" s="134">
        <v>139.15273999999999</v>
      </c>
      <c r="AB267" s="134"/>
      <c r="AC267" s="134"/>
      <c r="AD267" s="134"/>
      <c r="AE267" s="134"/>
      <c r="AF267" s="134"/>
      <c r="AG267" s="134"/>
      <c r="AH267" s="134"/>
      <c r="AI267" s="134"/>
      <c r="AJ267" s="242"/>
      <c r="AK267" s="156"/>
      <c r="AL267" s="242"/>
      <c r="AM267" s="134">
        <v>139.15273999999999</v>
      </c>
      <c r="AN267" s="134"/>
      <c r="AO267" s="134"/>
      <c r="AP267" s="134"/>
      <c r="AQ267" s="134"/>
      <c r="AR267" s="134"/>
      <c r="AS267" s="134"/>
      <c r="AT267" s="134"/>
      <c r="AU267" s="134"/>
      <c r="AV267" s="242"/>
      <c r="AW267" s="156"/>
      <c r="AX267" s="108"/>
      <c r="AY267" s="31"/>
      <c r="AZ267" s="109"/>
      <c r="BA267" s="62"/>
      <c r="BB267" s="62"/>
      <c r="BC267" s="62"/>
      <c r="BD267" s="62"/>
      <c r="BE267" s="110"/>
      <c r="BF267" s="109">
        <v>199.38</v>
      </c>
      <c r="BG267" s="62"/>
      <c r="BH267" s="62">
        <f>AY267-BF267</f>
        <v>-199.38</v>
      </c>
      <c r="BI267" s="110"/>
      <c r="BJ267" s="426">
        <f t="shared" si="161"/>
        <v>0</v>
      </c>
      <c r="BK267" s="427"/>
      <c r="BL267" s="560"/>
      <c r="BM267" s="149">
        <v>139.15273999999999</v>
      </c>
      <c r="BN267" s="62"/>
      <c r="BO267" s="470"/>
      <c r="BP267" s="485"/>
      <c r="BQ267" s="483"/>
      <c r="BR267" s="486"/>
      <c r="BS267" s="487"/>
      <c r="BT267" s="485"/>
      <c r="BU267" s="483"/>
      <c r="BV267" s="486"/>
      <c r="BW267" s="487"/>
      <c r="BX267" s="440"/>
      <c r="BY267" s="488"/>
      <c r="BZ267" s="489">
        <f>M267+BM267+BQ267+BU267</f>
        <v>275.43084999999996</v>
      </c>
      <c r="CA267" s="490"/>
      <c r="CB267" s="491"/>
      <c r="CC267" s="72">
        <f>BZ267-E267</f>
        <v>275.43084999999996</v>
      </c>
      <c r="CD267" s="434"/>
      <c r="CE267" s="561">
        <v>18</v>
      </c>
      <c r="CF267" s="492">
        <f>BZ267-CE267</f>
        <v>257.43084999999996</v>
      </c>
      <c r="CG267" s="74"/>
      <c r="CH267" s="74"/>
      <c r="CI267" s="74"/>
      <c r="CJ267" s="74"/>
      <c r="CK267" s="74"/>
      <c r="CL267" s="74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31"/>
      <c r="DB267" s="31"/>
      <c r="DC267" s="31"/>
      <c r="DD267" s="31"/>
      <c r="DE267" s="31"/>
      <c r="DF267" s="31"/>
      <c r="DG267" s="134"/>
      <c r="DI267" s="826"/>
      <c r="DJ267" s="788"/>
    </row>
    <row r="268" spans="1:114" s="783" customFormat="1" hidden="1">
      <c r="A268" s="194"/>
      <c r="B268" s="190" t="s">
        <v>38</v>
      </c>
      <c r="C268" s="840" t="s">
        <v>82</v>
      </c>
      <c r="D268" s="31"/>
      <c r="E268" s="31"/>
      <c r="F268" s="31"/>
      <c r="G268" s="31"/>
      <c r="H268" s="242"/>
      <c r="I268" s="242"/>
      <c r="J268" s="242"/>
      <c r="K268" s="242"/>
      <c r="L268" s="242"/>
      <c r="M268" s="134">
        <v>4</v>
      </c>
      <c r="N268" s="134"/>
      <c r="O268" s="134"/>
      <c r="P268" s="134"/>
      <c r="Q268" s="134"/>
      <c r="R268" s="134"/>
      <c r="S268" s="134"/>
      <c r="T268" s="134"/>
      <c r="U268" s="134"/>
      <c r="V268" s="134"/>
      <c r="W268" s="134">
        <v>4</v>
      </c>
      <c r="X268" s="242"/>
      <c r="Y268" s="155"/>
      <c r="Z268" s="242"/>
      <c r="AA268" s="134">
        <v>5.5</v>
      </c>
      <c r="AB268" s="134"/>
      <c r="AC268" s="134"/>
      <c r="AD268" s="134"/>
      <c r="AE268" s="134"/>
      <c r="AF268" s="134"/>
      <c r="AG268" s="134"/>
      <c r="AH268" s="134"/>
      <c r="AI268" s="134"/>
      <c r="AJ268" s="242"/>
      <c r="AK268" s="156"/>
      <c r="AL268" s="242"/>
      <c r="AM268" s="134">
        <v>5.5</v>
      </c>
      <c r="AN268" s="134"/>
      <c r="AO268" s="134"/>
      <c r="AP268" s="134"/>
      <c r="AQ268" s="134"/>
      <c r="AR268" s="134"/>
      <c r="AS268" s="134"/>
      <c r="AT268" s="134"/>
      <c r="AU268" s="134"/>
      <c r="AV268" s="242"/>
      <c r="AW268" s="156"/>
      <c r="AX268" s="108"/>
      <c r="AY268" s="31"/>
      <c r="AZ268" s="109"/>
      <c r="BA268" s="62"/>
      <c r="BB268" s="62"/>
      <c r="BC268" s="62"/>
      <c r="BD268" s="62"/>
      <c r="BE268" s="110"/>
      <c r="BF268" s="109"/>
      <c r="BG268" s="62"/>
      <c r="BH268" s="62"/>
      <c r="BI268" s="110"/>
      <c r="BJ268" s="426">
        <f t="shared" si="161"/>
        <v>0</v>
      </c>
      <c r="BK268" s="427"/>
      <c r="BL268" s="560"/>
      <c r="BM268" s="149">
        <v>5.5</v>
      </c>
      <c r="BN268" s="62"/>
      <c r="BO268" s="470"/>
      <c r="BP268" s="485"/>
      <c r="BQ268" s="483"/>
      <c r="BR268" s="486"/>
      <c r="BS268" s="487"/>
      <c r="BT268" s="485"/>
      <c r="BU268" s="483"/>
      <c r="BV268" s="486"/>
      <c r="BW268" s="487"/>
      <c r="BX268" s="440"/>
      <c r="BY268" s="488"/>
      <c r="BZ268" s="489"/>
      <c r="CA268" s="490"/>
      <c r="CB268" s="491"/>
      <c r="CC268" s="72"/>
      <c r="CD268" s="434"/>
      <c r="CE268" s="561"/>
      <c r="CF268" s="492"/>
      <c r="CG268" s="74"/>
      <c r="CH268" s="74"/>
      <c r="CI268" s="74"/>
      <c r="CJ268" s="74"/>
      <c r="CK268" s="74"/>
      <c r="CL268" s="74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31"/>
      <c r="DB268" s="31"/>
      <c r="DC268" s="31"/>
      <c r="DD268" s="31"/>
      <c r="DE268" s="31"/>
      <c r="DF268" s="31"/>
      <c r="DG268" s="134"/>
      <c r="DI268" s="826"/>
      <c r="DJ268" s="788"/>
    </row>
    <row r="269" spans="1:114" s="783" customFormat="1" hidden="1">
      <c r="A269" s="194"/>
      <c r="B269" s="190" t="s">
        <v>39</v>
      </c>
      <c r="C269" s="840" t="s">
        <v>83</v>
      </c>
      <c r="D269" s="31"/>
      <c r="E269" s="31"/>
      <c r="F269" s="31"/>
      <c r="G269" s="31"/>
      <c r="H269" s="242"/>
      <c r="I269" s="242"/>
      <c r="J269" s="242"/>
      <c r="K269" s="242"/>
      <c r="L269" s="242"/>
      <c r="M269" s="134">
        <f>M267/M268*1000</f>
        <v>34069.527499999997</v>
      </c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242"/>
      <c r="Y269" s="155"/>
      <c r="Z269" s="242"/>
      <c r="AA269" s="134">
        <f>AA267/AA268*1000</f>
        <v>25300.49818181818</v>
      </c>
      <c r="AB269" s="134"/>
      <c r="AC269" s="134"/>
      <c r="AD269" s="134"/>
      <c r="AE269" s="134"/>
      <c r="AF269" s="134"/>
      <c r="AG269" s="134"/>
      <c r="AH269" s="134"/>
      <c r="AI269" s="134"/>
      <c r="AJ269" s="242"/>
      <c r="AK269" s="156"/>
      <c r="AL269" s="242"/>
      <c r="AM269" s="134">
        <f>AM267/AM268*1000</f>
        <v>25300.49818181818</v>
      </c>
      <c r="AN269" s="134"/>
      <c r="AO269" s="134"/>
      <c r="AP269" s="134"/>
      <c r="AQ269" s="134"/>
      <c r="AR269" s="134"/>
      <c r="AS269" s="134"/>
      <c r="AT269" s="134"/>
      <c r="AU269" s="134"/>
      <c r="AV269" s="242"/>
      <c r="AW269" s="156"/>
      <c r="AX269" s="108"/>
      <c r="AY269" s="31"/>
      <c r="AZ269" s="109"/>
      <c r="BA269" s="62"/>
      <c r="BB269" s="62"/>
      <c r="BC269" s="62"/>
      <c r="BD269" s="62"/>
      <c r="BE269" s="110"/>
      <c r="BF269" s="109"/>
      <c r="BG269" s="62"/>
      <c r="BH269" s="62"/>
      <c r="BI269" s="110"/>
      <c r="BJ269" s="426">
        <f t="shared" si="161"/>
        <v>0</v>
      </c>
      <c r="BK269" s="427"/>
      <c r="BL269" s="560"/>
      <c r="BM269" s="149">
        <f>BM267/BM268*1000</f>
        <v>25300.49818181818</v>
      </c>
      <c r="BN269" s="62"/>
      <c r="BO269" s="470"/>
      <c r="BP269" s="485"/>
      <c r="BQ269" s="483"/>
      <c r="BR269" s="486"/>
      <c r="BS269" s="487"/>
      <c r="BT269" s="485"/>
      <c r="BU269" s="483"/>
      <c r="BV269" s="486"/>
      <c r="BW269" s="487"/>
      <c r="BX269" s="440"/>
      <c r="BY269" s="488"/>
      <c r="BZ269" s="489"/>
      <c r="CA269" s="490"/>
      <c r="CB269" s="491"/>
      <c r="CC269" s="72"/>
      <c r="CD269" s="434"/>
      <c r="CE269" s="561"/>
      <c r="CF269" s="492"/>
      <c r="CG269" s="74"/>
      <c r="CH269" s="74"/>
      <c r="CI269" s="74"/>
      <c r="CJ269" s="74"/>
      <c r="CK269" s="74"/>
      <c r="CL269" s="74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31"/>
      <c r="DB269" s="31"/>
      <c r="DC269" s="31"/>
      <c r="DD269" s="31"/>
      <c r="DE269" s="31"/>
      <c r="DF269" s="31"/>
      <c r="DG269" s="134"/>
      <c r="DI269" s="826"/>
      <c r="DJ269" s="788"/>
    </row>
    <row r="270" spans="1:114" s="783" customFormat="1" hidden="1">
      <c r="A270" s="194"/>
      <c r="B270" s="187" t="s">
        <v>92</v>
      </c>
      <c r="C270" s="840" t="s">
        <v>54</v>
      </c>
      <c r="D270" s="31"/>
      <c r="E270" s="31"/>
      <c r="F270" s="31"/>
      <c r="G270" s="31"/>
      <c r="H270" s="242"/>
      <c r="I270" s="242"/>
      <c r="J270" s="242"/>
      <c r="K270" s="242"/>
      <c r="L270" s="242"/>
      <c r="M270" s="134">
        <v>27.664439999999999</v>
      </c>
      <c r="N270" s="134"/>
      <c r="O270" s="134"/>
      <c r="P270" s="134"/>
      <c r="Q270" s="134"/>
      <c r="R270" s="134"/>
      <c r="S270" s="134"/>
      <c r="T270" s="134"/>
      <c r="U270" s="134"/>
      <c r="V270" s="134"/>
      <c r="W270" s="134">
        <v>27.66</v>
      </c>
      <c r="X270" s="242"/>
      <c r="Y270" s="155"/>
      <c r="Z270" s="242"/>
      <c r="AA270" s="134">
        <v>28.248010000000001</v>
      </c>
      <c r="AB270" s="134"/>
      <c r="AC270" s="134"/>
      <c r="AD270" s="134"/>
      <c r="AE270" s="134"/>
      <c r="AF270" s="134"/>
      <c r="AG270" s="134"/>
      <c r="AH270" s="134"/>
      <c r="AI270" s="134"/>
      <c r="AJ270" s="242"/>
      <c r="AK270" s="156"/>
      <c r="AL270" s="242"/>
      <c r="AM270" s="134">
        <v>28.248010000000001</v>
      </c>
      <c r="AN270" s="134"/>
      <c r="AO270" s="134"/>
      <c r="AP270" s="134"/>
      <c r="AQ270" s="134"/>
      <c r="AR270" s="134"/>
      <c r="AS270" s="134"/>
      <c r="AT270" s="134"/>
      <c r="AU270" s="134"/>
      <c r="AV270" s="242"/>
      <c r="AW270" s="156"/>
      <c r="AX270" s="108"/>
      <c r="AY270" s="31"/>
      <c r="AZ270" s="109"/>
      <c r="BA270" s="62"/>
      <c r="BB270" s="62"/>
      <c r="BC270" s="62"/>
      <c r="BD270" s="62"/>
      <c r="BE270" s="110"/>
      <c r="BF270" s="109">
        <f>BF267*20.3/100</f>
        <v>40.474140000000006</v>
      </c>
      <c r="BG270" s="62"/>
      <c r="BH270" s="62">
        <f>AY270-BF270</f>
        <v>-40.474140000000006</v>
      </c>
      <c r="BI270" s="110"/>
      <c r="BJ270" s="426">
        <f t="shared" si="161"/>
        <v>0</v>
      </c>
      <c r="BK270" s="427"/>
      <c r="BL270" s="560"/>
      <c r="BM270" s="149">
        <v>28.248010000000001</v>
      </c>
      <c r="BN270" s="62"/>
      <c r="BO270" s="470"/>
      <c r="BP270" s="485"/>
      <c r="BQ270" s="483"/>
      <c r="BR270" s="486"/>
      <c r="BS270" s="487"/>
      <c r="BT270" s="485"/>
      <c r="BU270" s="483"/>
      <c r="BV270" s="486"/>
      <c r="BW270" s="487"/>
      <c r="BX270" s="440"/>
      <c r="BY270" s="488"/>
      <c r="BZ270" s="489">
        <f>M270+BM270+BQ270+BU270</f>
        <v>55.91245</v>
      </c>
      <c r="CA270" s="490"/>
      <c r="CB270" s="491"/>
      <c r="CC270" s="72">
        <f t="shared" ref="CC270:CC296" si="162">BZ270-E270</f>
        <v>55.91245</v>
      </c>
      <c r="CD270" s="434"/>
      <c r="CE270" s="561">
        <v>3.65</v>
      </c>
      <c r="CF270" s="492">
        <f>BZ270-CE270</f>
        <v>52.262450000000001</v>
      </c>
      <c r="CG270" s="74"/>
      <c r="CH270" s="74"/>
      <c r="CI270" s="74"/>
      <c r="CJ270" s="74"/>
      <c r="CK270" s="74"/>
      <c r="CL270" s="74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  <c r="CZ270" s="75"/>
      <c r="DA270" s="31"/>
      <c r="DB270" s="31"/>
      <c r="DC270" s="31"/>
      <c r="DD270" s="31"/>
      <c r="DE270" s="31"/>
      <c r="DF270" s="31"/>
      <c r="DG270" s="134"/>
      <c r="DI270" s="826"/>
      <c r="DJ270" s="788"/>
    </row>
    <row r="271" spans="1:114" s="783" customFormat="1" hidden="1">
      <c r="A271" s="194" t="s">
        <v>144</v>
      </c>
      <c r="B271" s="199" t="s">
        <v>96</v>
      </c>
      <c r="C271" s="840" t="s">
        <v>54</v>
      </c>
      <c r="D271" s="179"/>
      <c r="E271" s="179"/>
      <c r="F271" s="179"/>
      <c r="G271" s="179"/>
      <c r="H271" s="242"/>
      <c r="I271" s="242"/>
      <c r="J271" s="242"/>
      <c r="K271" s="242"/>
      <c r="L271" s="242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242"/>
      <c r="Y271" s="155"/>
      <c r="Z271" s="242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242"/>
      <c r="AK271" s="156"/>
      <c r="AL271" s="242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242"/>
      <c r="AW271" s="156"/>
      <c r="AX271" s="108">
        <v>18.32</v>
      </c>
      <c r="AY271" s="179"/>
      <c r="AZ271" s="109"/>
      <c r="BA271" s="62"/>
      <c r="BB271" s="62"/>
      <c r="BC271" s="62"/>
      <c r="BD271" s="62"/>
      <c r="BE271" s="110"/>
      <c r="BF271" s="109"/>
      <c r="BG271" s="62"/>
      <c r="BH271" s="185">
        <f>SUM(BH272:BH273)</f>
        <v>0</v>
      </c>
      <c r="BI271" s="110"/>
      <c r="BJ271" s="426"/>
      <c r="BK271" s="427"/>
      <c r="BL271" s="560"/>
      <c r="BM271" s="149"/>
      <c r="BN271" s="62"/>
      <c r="BO271" s="470"/>
      <c r="BP271" s="485"/>
      <c r="BQ271" s="483"/>
      <c r="BR271" s="486"/>
      <c r="BS271" s="487"/>
      <c r="BT271" s="485"/>
      <c r="BU271" s="483"/>
      <c r="BV271" s="486"/>
      <c r="BW271" s="487"/>
      <c r="BX271" s="440"/>
      <c r="BY271" s="488"/>
      <c r="BZ271" s="489"/>
      <c r="CA271" s="490"/>
      <c r="CB271" s="491"/>
      <c r="CC271" s="72"/>
      <c r="CD271" s="434"/>
      <c r="CE271" s="561"/>
      <c r="CF271" s="492"/>
      <c r="CG271" s="74"/>
      <c r="CH271" s="74"/>
      <c r="CI271" s="74"/>
      <c r="CJ271" s="74"/>
      <c r="CK271" s="74"/>
      <c r="CL271" s="74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179"/>
      <c r="DB271" s="179"/>
      <c r="DC271" s="179"/>
      <c r="DD271" s="179"/>
      <c r="DE271" s="179"/>
      <c r="DF271" s="179"/>
      <c r="DG271" s="180"/>
      <c r="DI271" s="826"/>
      <c r="DJ271" s="788"/>
    </row>
    <row r="272" spans="1:114" s="783" customFormat="1" hidden="1">
      <c r="A272" s="194"/>
      <c r="B272" s="195" t="s">
        <v>121</v>
      </c>
      <c r="C272" s="840" t="s">
        <v>54</v>
      </c>
      <c r="D272" s="31"/>
      <c r="E272" s="31"/>
      <c r="F272" s="31"/>
      <c r="G272" s="31"/>
      <c r="H272" s="242"/>
      <c r="I272" s="242"/>
      <c r="J272" s="242"/>
      <c r="K272" s="242"/>
      <c r="L272" s="242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242"/>
      <c r="Y272" s="155"/>
      <c r="Z272" s="242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242"/>
      <c r="AK272" s="156"/>
      <c r="AL272" s="242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242"/>
      <c r="AW272" s="156"/>
      <c r="AX272" s="108"/>
      <c r="AY272" s="31"/>
      <c r="AZ272" s="109"/>
      <c r="BA272" s="62"/>
      <c r="BB272" s="62"/>
      <c r="BC272" s="62"/>
      <c r="BD272" s="62"/>
      <c r="BE272" s="110"/>
      <c r="BF272" s="109"/>
      <c r="BG272" s="62"/>
      <c r="BH272" s="62">
        <f>AY272</f>
        <v>0</v>
      </c>
      <c r="BI272" s="110"/>
      <c r="BJ272" s="426"/>
      <c r="BK272" s="427"/>
      <c r="BL272" s="560"/>
      <c r="BM272" s="149"/>
      <c r="BN272" s="62"/>
      <c r="BO272" s="470"/>
      <c r="BP272" s="485"/>
      <c r="BQ272" s="483"/>
      <c r="BR272" s="486"/>
      <c r="BS272" s="487"/>
      <c r="BT272" s="485"/>
      <c r="BU272" s="483"/>
      <c r="BV272" s="486"/>
      <c r="BW272" s="487"/>
      <c r="BX272" s="440"/>
      <c r="BY272" s="488"/>
      <c r="BZ272" s="489"/>
      <c r="CA272" s="490"/>
      <c r="CB272" s="491"/>
      <c r="CC272" s="72"/>
      <c r="CD272" s="434"/>
      <c r="CE272" s="561"/>
      <c r="CF272" s="492"/>
      <c r="CG272" s="74"/>
      <c r="CH272" s="74"/>
      <c r="CI272" s="74"/>
      <c r="CJ272" s="74"/>
      <c r="CK272" s="74"/>
      <c r="CL272" s="74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31"/>
      <c r="DB272" s="31"/>
      <c r="DC272" s="31"/>
      <c r="DD272" s="31"/>
      <c r="DE272" s="31"/>
      <c r="DF272" s="31"/>
      <c r="DG272" s="134"/>
      <c r="DI272" s="826"/>
      <c r="DJ272" s="788"/>
    </row>
    <row r="273" spans="1:114" s="783" customFormat="1" hidden="1">
      <c r="A273" s="194"/>
      <c r="B273" s="195" t="s">
        <v>122</v>
      </c>
      <c r="C273" s="840" t="s">
        <v>54</v>
      </c>
      <c r="D273" s="31"/>
      <c r="E273" s="31"/>
      <c r="F273" s="31"/>
      <c r="G273" s="31"/>
      <c r="H273" s="242"/>
      <c r="I273" s="242"/>
      <c r="J273" s="242"/>
      <c r="K273" s="242"/>
      <c r="L273" s="242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242"/>
      <c r="Y273" s="155"/>
      <c r="Z273" s="242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242"/>
      <c r="AK273" s="156"/>
      <c r="AL273" s="242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242"/>
      <c r="AW273" s="156"/>
      <c r="AX273" s="108"/>
      <c r="AY273" s="31"/>
      <c r="AZ273" s="109"/>
      <c r="BA273" s="62"/>
      <c r="BB273" s="62"/>
      <c r="BC273" s="62"/>
      <c r="BD273" s="62"/>
      <c r="BE273" s="110"/>
      <c r="BF273" s="109"/>
      <c r="BG273" s="62"/>
      <c r="BH273" s="62"/>
      <c r="BI273" s="110"/>
      <c r="BJ273" s="426"/>
      <c r="BK273" s="427"/>
      <c r="BL273" s="560"/>
      <c r="BM273" s="149"/>
      <c r="BN273" s="62"/>
      <c r="BO273" s="470"/>
      <c r="BP273" s="485"/>
      <c r="BQ273" s="483"/>
      <c r="BR273" s="486"/>
      <c r="BS273" s="487"/>
      <c r="BT273" s="485"/>
      <c r="BU273" s="483"/>
      <c r="BV273" s="486"/>
      <c r="BW273" s="487"/>
      <c r="BX273" s="440"/>
      <c r="BY273" s="488"/>
      <c r="BZ273" s="489"/>
      <c r="CA273" s="490"/>
      <c r="CB273" s="491"/>
      <c r="CC273" s="72"/>
      <c r="CD273" s="434"/>
      <c r="CE273" s="561"/>
      <c r="CF273" s="492"/>
      <c r="CG273" s="74"/>
      <c r="CH273" s="74"/>
      <c r="CI273" s="74"/>
      <c r="CJ273" s="74"/>
      <c r="CK273" s="74"/>
      <c r="CL273" s="74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31"/>
      <c r="DB273" s="31"/>
      <c r="DC273" s="31"/>
      <c r="DD273" s="31"/>
      <c r="DE273" s="31"/>
      <c r="DF273" s="31"/>
      <c r="DG273" s="134"/>
      <c r="DI273" s="826"/>
      <c r="DJ273" s="788"/>
    </row>
    <row r="274" spans="1:114" s="783" customFormat="1" hidden="1">
      <c r="A274" s="194" t="s">
        <v>145</v>
      </c>
      <c r="B274" s="199" t="s">
        <v>6</v>
      </c>
      <c r="C274" s="840" t="s">
        <v>54</v>
      </c>
      <c r="D274" s="179"/>
      <c r="E274" s="179"/>
      <c r="F274" s="179"/>
      <c r="G274" s="179"/>
      <c r="H274" s="283"/>
      <c r="I274" s="283"/>
      <c r="J274" s="283"/>
      <c r="K274" s="283"/>
      <c r="L274" s="283"/>
      <c r="M274" s="180">
        <f>SUM(M275:M288)</f>
        <v>4</v>
      </c>
      <c r="N274" s="180"/>
      <c r="O274" s="180"/>
      <c r="P274" s="180"/>
      <c r="Q274" s="180"/>
      <c r="R274" s="180"/>
      <c r="S274" s="180"/>
      <c r="T274" s="180"/>
      <c r="U274" s="180"/>
      <c r="V274" s="180"/>
      <c r="W274" s="180">
        <f>SUM(W275:W288)</f>
        <v>4</v>
      </c>
      <c r="X274" s="283"/>
      <c r="Y274" s="284"/>
      <c r="Z274" s="283"/>
      <c r="AA274" s="180">
        <f>SUM(AA275:AA288)</f>
        <v>20.100749999999998</v>
      </c>
      <c r="AB274" s="180"/>
      <c r="AC274" s="180"/>
      <c r="AD274" s="180"/>
      <c r="AE274" s="180"/>
      <c r="AF274" s="180"/>
      <c r="AG274" s="180"/>
      <c r="AH274" s="180"/>
      <c r="AI274" s="180">
        <f>SUM(AI275:AI288)</f>
        <v>0</v>
      </c>
      <c r="AJ274" s="283"/>
      <c r="AK274" s="285"/>
      <c r="AL274" s="283"/>
      <c r="AM274" s="180">
        <f>SUM(AM275:AM288)</f>
        <v>20.100749999999998</v>
      </c>
      <c r="AN274" s="180"/>
      <c r="AO274" s="180"/>
      <c r="AP274" s="180"/>
      <c r="AQ274" s="180"/>
      <c r="AR274" s="180"/>
      <c r="AS274" s="180"/>
      <c r="AT274" s="180"/>
      <c r="AU274" s="180">
        <f>SUM(AU275:AU288)</f>
        <v>0</v>
      </c>
      <c r="AV274" s="283"/>
      <c r="AW274" s="285"/>
      <c r="AX274" s="108">
        <v>67.930000000000007</v>
      </c>
      <c r="AY274" s="179"/>
      <c r="AZ274" s="184"/>
      <c r="BA274" s="185"/>
      <c r="BB274" s="185"/>
      <c r="BC274" s="185"/>
      <c r="BD274" s="185"/>
      <c r="BE274" s="186"/>
      <c r="BF274" s="184">
        <f>SUM(BF275:BF288)</f>
        <v>0</v>
      </c>
      <c r="BG274" s="185"/>
      <c r="BH274" s="185">
        <f>SUM(BH275:BH288)</f>
        <v>9.9600000000000009</v>
      </c>
      <c r="BI274" s="186"/>
      <c r="BJ274" s="426">
        <f>BA274-AZ274</f>
        <v>0</v>
      </c>
      <c r="BK274" s="427"/>
      <c r="BL274" s="637"/>
      <c r="BM274" s="204">
        <f>SUM(BM275:BM288)</f>
        <v>20.100749999999998</v>
      </c>
      <c r="BN274" s="185"/>
      <c r="BO274" s="470"/>
      <c r="BP274" s="496"/>
      <c r="BQ274" s="495"/>
      <c r="BR274" s="497"/>
      <c r="BS274" s="498"/>
      <c r="BT274" s="496"/>
      <c r="BU274" s="495"/>
      <c r="BV274" s="497"/>
      <c r="BW274" s="498"/>
      <c r="BX274" s="499"/>
      <c r="BY274" s="500"/>
      <c r="BZ274" s="501">
        <f>SUM(BZ275:BZ288)</f>
        <v>24.100749999999998</v>
      </c>
      <c r="CA274" s="502"/>
      <c r="CB274" s="503"/>
      <c r="CC274" s="72">
        <f t="shared" si="162"/>
        <v>24.100749999999998</v>
      </c>
      <c r="CD274" s="638"/>
      <c r="CE274" s="639"/>
      <c r="CF274" s="505">
        <f>SUM(CF275:CF288)</f>
        <v>104.08</v>
      </c>
      <c r="CG274" s="465"/>
      <c r="CH274" s="465"/>
      <c r="CI274" s="465"/>
      <c r="CJ274" s="465"/>
      <c r="CK274" s="465"/>
      <c r="CL274" s="465"/>
      <c r="CM274" s="466"/>
      <c r="CN274" s="466"/>
      <c r="CO274" s="466"/>
      <c r="CP274" s="466"/>
      <c r="CQ274" s="466"/>
      <c r="CR274" s="466"/>
      <c r="CS274" s="466"/>
      <c r="CT274" s="466"/>
      <c r="CU274" s="466"/>
      <c r="CV274" s="466"/>
      <c r="CW274" s="466"/>
      <c r="CX274" s="466"/>
      <c r="CY274" s="466"/>
      <c r="CZ274" s="466"/>
      <c r="DA274" s="179"/>
      <c r="DB274" s="179"/>
      <c r="DC274" s="179"/>
      <c r="DD274" s="179"/>
      <c r="DE274" s="179"/>
      <c r="DF274" s="179"/>
      <c r="DG274" s="180"/>
      <c r="DI274" s="826"/>
      <c r="DJ274" s="788"/>
    </row>
    <row r="275" spans="1:114" s="783" customFormat="1" hidden="1">
      <c r="A275" s="194"/>
      <c r="B275" s="195" t="s">
        <v>7</v>
      </c>
      <c r="C275" s="840" t="s">
        <v>54</v>
      </c>
      <c r="D275" s="31"/>
      <c r="E275" s="31"/>
      <c r="F275" s="31"/>
      <c r="G275" s="31"/>
      <c r="H275" s="242"/>
      <c r="I275" s="242"/>
      <c r="J275" s="242"/>
      <c r="K275" s="242"/>
      <c r="L275" s="242"/>
      <c r="M275" s="134">
        <v>0.23</v>
      </c>
      <c r="N275" s="134"/>
      <c r="O275" s="134"/>
      <c r="P275" s="134"/>
      <c r="Q275" s="134"/>
      <c r="R275" s="134"/>
      <c r="S275" s="134"/>
      <c r="T275" s="134"/>
      <c r="U275" s="134"/>
      <c r="V275" s="134"/>
      <c r="W275" s="134">
        <v>0.23</v>
      </c>
      <c r="X275" s="242"/>
      <c r="Y275" s="155"/>
      <c r="Z275" s="242"/>
      <c r="AA275" s="134">
        <v>0.23674999999999999</v>
      </c>
      <c r="AB275" s="134"/>
      <c r="AC275" s="134"/>
      <c r="AD275" s="134"/>
      <c r="AE275" s="134"/>
      <c r="AF275" s="134"/>
      <c r="AG275" s="134"/>
      <c r="AH275" s="134"/>
      <c r="AI275" s="134"/>
      <c r="AJ275" s="242"/>
      <c r="AK275" s="156"/>
      <c r="AL275" s="242"/>
      <c r="AM275" s="134">
        <v>0.23674999999999999</v>
      </c>
      <c r="AN275" s="134"/>
      <c r="AO275" s="134"/>
      <c r="AP275" s="134"/>
      <c r="AQ275" s="134"/>
      <c r="AR275" s="134"/>
      <c r="AS275" s="134"/>
      <c r="AT275" s="134"/>
      <c r="AU275" s="134"/>
      <c r="AV275" s="242"/>
      <c r="AW275" s="156"/>
      <c r="AX275" s="108"/>
      <c r="AY275" s="31"/>
      <c r="AZ275" s="109"/>
      <c r="BA275" s="62"/>
      <c r="BB275" s="62"/>
      <c r="BC275" s="62"/>
      <c r="BD275" s="62"/>
      <c r="BE275" s="110"/>
      <c r="BF275" s="109"/>
      <c r="BG275" s="62"/>
      <c r="BH275" s="62">
        <f>AY275</f>
        <v>0</v>
      </c>
      <c r="BI275" s="110"/>
      <c r="BJ275" s="426">
        <f>BA275-AZ275</f>
        <v>0</v>
      </c>
      <c r="BK275" s="427"/>
      <c r="BL275" s="560"/>
      <c r="BM275" s="149">
        <v>0.23674999999999999</v>
      </c>
      <c r="BN275" s="62"/>
      <c r="BO275" s="470"/>
      <c r="BP275" s="485"/>
      <c r="BQ275" s="483"/>
      <c r="BR275" s="486"/>
      <c r="BS275" s="487"/>
      <c r="BT275" s="485"/>
      <c r="BU275" s="483"/>
      <c r="BV275" s="486"/>
      <c r="BW275" s="487"/>
      <c r="BX275" s="440"/>
      <c r="BY275" s="488"/>
      <c r="BZ275" s="489">
        <f t="shared" ref="BZ275:BZ288" si="163">M275+BM275+BQ275+BU275</f>
        <v>0.46675</v>
      </c>
      <c r="CA275" s="490"/>
      <c r="CB275" s="491"/>
      <c r="CC275" s="72">
        <f t="shared" si="162"/>
        <v>0.46675</v>
      </c>
      <c r="CD275" s="562"/>
      <c r="CE275" s="561"/>
      <c r="CF275" s="492">
        <v>2.96</v>
      </c>
      <c r="CG275" s="74"/>
      <c r="CH275" s="74"/>
      <c r="CI275" s="74"/>
      <c r="CJ275" s="74"/>
      <c r="CK275" s="74"/>
      <c r="CL275" s="74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31"/>
      <c r="DB275" s="31"/>
      <c r="DC275" s="31"/>
      <c r="DD275" s="31"/>
      <c r="DE275" s="31"/>
      <c r="DF275" s="31"/>
      <c r="DG275" s="134"/>
      <c r="DI275" s="826"/>
      <c r="DJ275" s="788"/>
    </row>
    <row r="276" spans="1:114" s="783" customFormat="1" hidden="1">
      <c r="A276" s="194"/>
      <c r="B276" s="195" t="s">
        <v>196</v>
      </c>
      <c r="C276" s="840"/>
      <c r="D276" s="31"/>
      <c r="E276" s="31"/>
      <c r="F276" s="31"/>
      <c r="G276" s="31"/>
      <c r="H276" s="242"/>
      <c r="I276" s="242"/>
      <c r="J276" s="242"/>
      <c r="K276" s="242"/>
      <c r="L276" s="242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242"/>
      <c r="Y276" s="155"/>
      <c r="Z276" s="242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242"/>
      <c r="AK276" s="156"/>
      <c r="AL276" s="242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242"/>
      <c r="AW276" s="156"/>
      <c r="AX276" s="108"/>
      <c r="AY276" s="31"/>
      <c r="AZ276" s="109"/>
      <c r="BA276" s="62"/>
      <c r="BB276" s="62"/>
      <c r="BC276" s="62"/>
      <c r="BD276" s="62"/>
      <c r="BE276" s="110"/>
      <c r="BF276" s="109"/>
      <c r="BG276" s="62"/>
      <c r="BH276" s="62">
        <f>AY276</f>
        <v>0</v>
      </c>
      <c r="BI276" s="110"/>
      <c r="BJ276" s="426"/>
      <c r="BK276" s="427"/>
      <c r="BL276" s="560"/>
      <c r="BM276" s="149"/>
      <c r="BN276" s="62"/>
      <c r="BO276" s="470"/>
      <c r="BP276" s="485"/>
      <c r="BQ276" s="483"/>
      <c r="BR276" s="486"/>
      <c r="BS276" s="487"/>
      <c r="BT276" s="485"/>
      <c r="BU276" s="483"/>
      <c r="BV276" s="486"/>
      <c r="BW276" s="487"/>
      <c r="BX276" s="440"/>
      <c r="BY276" s="488"/>
      <c r="BZ276" s="489"/>
      <c r="CA276" s="490"/>
      <c r="CB276" s="491"/>
      <c r="CC276" s="72"/>
      <c r="CD276" s="562"/>
      <c r="CE276" s="561"/>
      <c r="CF276" s="492"/>
      <c r="CG276" s="74"/>
      <c r="CH276" s="74"/>
      <c r="CI276" s="74"/>
      <c r="CJ276" s="74"/>
      <c r="CK276" s="74"/>
      <c r="CL276" s="74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31"/>
      <c r="DB276" s="31"/>
      <c r="DC276" s="31"/>
      <c r="DD276" s="31"/>
      <c r="DE276" s="31"/>
      <c r="DF276" s="31"/>
      <c r="DG276" s="134"/>
      <c r="DI276" s="826"/>
      <c r="DJ276" s="788"/>
    </row>
    <row r="277" spans="1:114" s="783" customFormat="1" hidden="1">
      <c r="A277" s="194"/>
      <c r="B277" s="195" t="s">
        <v>215</v>
      </c>
      <c r="C277" s="840"/>
      <c r="D277" s="31"/>
      <c r="E277" s="31"/>
      <c r="F277" s="31"/>
      <c r="G277" s="31"/>
      <c r="H277" s="242"/>
      <c r="I277" s="242"/>
      <c r="J277" s="242"/>
      <c r="K277" s="242"/>
      <c r="L277" s="242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242"/>
      <c r="Y277" s="155"/>
      <c r="Z277" s="242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242"/>
      <c r="AK277" s="156"/>
      <c r="AL277" s="242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242"/>
      <c r="AW277" s="156"/>
      <c r="AX277" s="108"/>
      <c r="AY277" s="31"/>
      <c r="AZ277" s="109"/>
      <c r="BA277" s="62"/>
      <c r="BB277" s="62"/>
      <c r="BC277" s="62"/>
      <c r="BD277" s="62"/>
      <c r="BE277" s="110"/>
      <c r="BF277" s="109"/>
      <c r="BG277" s="62"/>
      <c r="BH277" s="62">
        <v>2.96</v>
      </c>
      <c r="BI277" s="110"/>
      <c r="BJ277" s="426"/>
      <c r="BK277" s="427"/>
      <c r="BL277" s="560"/>
      <c r="BM277" s="149"/>
      <c r="BN277" s="62"/>
      <c r="BO277" s="470"/>
      <c r="BP277" s="485"/>
      <c r="BQ277" s="483"/>
      <c r="BR277" s="486"/>
      <c r="BS277" s="487"/>
      <c r="BT277" s="485"/>
      <c r="BU277" s="483"/>
      <c r="BV277" s="486"/>
      <c r="BW277" s="487"/>
      <c r="BX277" s="440"/>
      <c r="BY277" s="488"/>
      <c r="BZ277" s="489"/>
      <c r="CA277" s="490"/>
      <c r="CB277" s="491"/>
      <c r="CC277" s="72"/>
      <c r="CD277" s="562"/>
      <c r="CE277" s="561"/>
      <c r="CF277" s="492"/>
      <c r="CG277" s="74"/>
      <c r="CH277" s="74"/>
      <c r="CI277" s="74"/>
      <c r="CJ277" s="74"/>
      <c r="CK277" s="74"/>
      <c r="CL277" s="74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31"/>
      <c r="DB277" s="31"/>
      <c r="DC277" s="31"/>
      <c r="DD277" s="31"/>
      <c r="DE277" s="31"/>
      <c r="DF277" s="31"/>
      <c r="DG277" s="134"/>
      <c r="DI277" s="826"/>
      <c r="DJ277" s="788"/>
    </row>
    <row r="278" spans="1:114" s="783" customFormat="1" hidden="1">
      <c r="A278" s="194"/>
      <c r="B278" s="195" t="s">
        <v>79</v>
      </c>
      <c r="C278" s="840" t="s">
        <v>54</v>
      </c>
      <c r="D278" s="31"/>
      <c r="E278" s="31"/>
      <c r="F278" s="31"/>
      <c r="G278" s="31"/>
      <c r="H278" s="242"/>
      <c r="I278" s="242"/>
      <c r="J278" s="242"/>
      <c r="K278" s="242"/>
      <c r="L278" s="242"/>
      <c r="M278" s="134">
        <v>0.77</v>
      </c>
      <c r="N278" s="134"/>
      <c r="O278" s="134"/>
      <c r="P278" s="134"/>
      <c r="Q278" s="134"/>
      <c r="R278" s="134"/>
      <c r="S278" s="134"/>
      <c r="T278" s="134"/>
      <c r="U278" s="134"/>
      <c r="V278" s="134"/>
      <c r="W278" s="134">
        <v>0.77</v>
      </c>
      <c r="X278" s="242"/>
      <c r="Y278" s="155"/>
      <c r="Z278" s="242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242"/>
      <c r="AK278" s="156"/>
      <c r="AL278" s="242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242"/>
      <c r="AW278" s="156"/>
      <c r="AX278" s="108"/>
      <c r="AY278" s="31"/>
      <c r="AZ278" s="109"/>
      <c r="BA278" s="62"/>
      <c r="BB278" s="62"/>
      <c r="BC278" s="62"/>
      <c r="BD278" s="62"/>
      <c r="BE278" s="110"/>
      <c r="BF278" s="109"/>
      <c r="BG278" s="62"/>
      <c r="BH278" s="62"/>
      <c r="BI278" s="110"/>
      <c r="BJ278" s="426">
        <f>BA278-AZ278</f>
        <v>0</v>
      </c>
      <c r="BK278" s="427"/>
      <c r="BL278" s="560"/>
      <c r="BM278" s="149"/>
      <c r="BN278" s="62"/>
      <c r="BO278" s="470"/>
      <c r="BP278" s="485"/>
      <c r="BQ278" s="483"/>
      <c r="BR278" s="486"/>
      <c r="BS278" s="487"/>
      <c r="BT278" s="485"/>
      <c r="BU278" s="483"/>
      <c r="BV278" s="486"/>
      <c r="BW278" s="487"/>
      <c r="BX278" s="440"/>
      <c r="BY278" s="488"/>
      <c r="BZ278" s="489">
        <f t="shared" si="163"/>
        <v>0.77</v>
      </c>
      <c r="CA278" s="490"/>
      <c r="CB278" s="491"/>
      <c r="CC278" s="72">
        <f t="shared" si="162"/>
        <v>0.77</v>
      </c>
      <c r="CD278" s="562"/>
      <c r="CE278" s="561"/>
      <c r="CF278" s="492">
        <v>7.28</v>
      </c>
      <c r="CG278" s="74"/>
      <c r="CH278" s="74"/>
      <c r="CI278" s="74"/>
      <c r="CJ278" s="74"/>
      <c r="CK278" s="74"/>
      <c r="CL278" s="74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  <c r="CZ278" s="75"/>
      <c r="DA278" s="31"/>
      <c r="DB278" s="31"/>
      <c r="DC278" s="31"/>
      <c r="DD278" s="31"/>
      <c r="DE278" s="31"/>
      <c r="DF278" s="31"/>
      <c r="DG278" s="134"/>
      <c r="DI278" s="826"/>
      <c r="DJ278" s="788"/>
    </row>
    <row r="279" spans="1:114" s="783" customFormat="1" hidden="1">
      <c r="A279" s="194"/>
      <c r="B279" s="195" t="s">
        <v>10</v>
      </c>
      <c r="C279" s="840" t="s">
        <v>54</v>
      </c>
      <c r="D279" s="31"/>
      <c r="E279" s="31"/>
      <c r="F279" s="31"/>
      <c r="G279" s="31"/>
      <c r="H279" s="242"/>
      <c r="I279" s="242"/>
      <c r="J279" s="242"/>
      <c r="K279" s="242"/>
      <c r="L279" s="242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242"/>
      <c r="Y279" s="155"/>
      <c r="Z279" s="242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242"/>
      <c r="AK279" s="156"/>
      <c r="AL279" s="242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242"/>
      <c r="AW279" s="156"/>
      <c r="AX279" s="108"/>
      <c r="AY279" s="31"/>
      <c r="AZ279" s="109"/>
      <c r="BA279" s="62"/>
      <c r="BB279" s="62"/>
      <c r="BC279" s="62"/>
      <c r="BD279" s="62"/>
      <c r="BE279" s="110"/>
      <c r="BF279" s="109"/>
      <c r="BG279" s="62"/>
      <c r="BH279" s="62"/>
      <c r="BI279" s="110"/>
      <c r="BJ279" s="426"/>
      <c r="BK279" s="427"/>
      <c r="BL279" s="560"/>
      <c r="BM279" s="149"/>
      <c r="BN279" s="62"/>
      <c r="BO279" s="470"/>
      <c r="BP279" s="485"/>
      <c r="BQ279" s="483"/>
      <c r="BR279" s="486"/>
      <c r="BS279" s="487"/>
      <c r="BT279" s="485"/>
      <c r="BU279" s="483"/>
      <c r="BV279" s="486"/>
      <c r="BW279" s="487"/>
      <c r="BX279" s="440"/>
      <c r="BY279" s="488"/>
      <c r="BZ279" s="489"/>
      <c r="CA279" s="490"/>
      <c r="CB279" s="491"/>
      <c r="CC279" s="72"/>
      <c r="CD279" s="562"/>
      <c r="CE279" s="561"/>
      <c r="CF279" s="492"/>
      <c r="CG279" s="74"/>
      <c r="CH279" s="74"/>
      <c r="CI279" s="74"/>
      <c r="CJ279" s="74"/>
      <c r="CK279" s="74"/>
      <c r="CL279" s="74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31"/>
      <c r="DB279" s="31"/>
      <c r="DC279" s="31"/>
      <c r="DD279" s="31"/>
      <c r="DE279" s="31"/>
      <c r="DF279" s="31"/>
      <c r="DG279" s="134"/>
      <c r="DI279" s="826"/>
      <c r="DJ279" s="788"/>
    </row>
    <row r="280" spans="1:114" s="783" customFormat="1" hidden="1">
      <c r="A280" s="194"/>
      <c r="B280" s="195" t="s">
        <v>71</v>
      </c>
      <c r="C280" s="840" t="s">
        <v>54</v>
      </c>
      <c r="D280" s="31"/>
      <c r="E280" s="31"/>
      <c r="F280" s="31"/>
      <c r="G280" s="31"/>
      <c r="H280" s="242"/>
      <c r="I280" s="242"/>
      <c r="J280" s="242"/>
      <c r="K280" s="242"/>
      <c r="L280" s="242"/>
      <c r="M280" s="134">
        <v>3</v>
      </c>
      <c r="N280" s="134"/>
      <c r="O280" s="134"/>
      <c r="P280" s="134"/>
      <c r="Q280" s="134"/>
      <c r="R280" s="134"/>
      <c r="S280" s="134"/>
      <c r="T280" s="134"/>
      <c r="U280" s="134"/>
      <c r="V280" s="134"/>
      <c r="W280" s="134">
        <v>3</v>
      </c>
      <c r="X280" s="242"/>
      <c r="Y280" s="155"/>
      <c r="Z280" s="242"/>
      <c r="AA280" s="134">
        <v>0.3</v>
      </c>
      <c r="AB280" s="134"/>
      <c r="AC280" s="134"/>
      <c r="AD280" s="134"/>
      <c r="AE280" s="134"/>
      <c r="AF280" s="134"/>
      <c r="AG280" s="134"/>
      <c r="AH280" s="134"/>
      <c r="AI280" s="134"/>
      <c r="AJ280" s="242"/>
      <c r="AK280" s="156"/>
      <c r="AL280" s="242"/>
      <c r="AM280" s="134">
        <v>0.3</v>
      </c>
      <c r="AN280" s="134"/>
      <c r="AO280" s="134"/>
      <c r="AP280" s="134"/>
      <c r="AQ280" s="134"/>
      <c r="AR280" s="134"/>
      <c r="AS280" s="134"/>
      <c r="AT280" s="134"/>
      <c r="AU280" s="134"/>
      <c r="AV280" s="242"/>
      <c r="AW280" s="156"/>
      <c r="AX280" s="108"/>
      <c r="AY280" s="31"/>
      <c r="AZ280" s="109"/>
      <c r="BA280" s="62"/>
      <c r="BB280" s="62"/>
      <c r="BC280" s="62"/>
      <c r="BD280" s="62"/>
      <c r="BE280" s="110"/>
      <c r="BF280" s="109"/>
      <c r="BG280" s="62"/>
      <c r="BH280" s="62">
        <f>AY280-BF280</f>
        <v>0</v>
      </c>
      <c r="BI280" s="110"/>
      <c r="BJ280" s="426">
        <f>BA280-AZ280</f>
        <v>0</v>
      </c>
      <c r="BK280" s="427"/>
      <c r="BL280" s="560"/>
      <c r="BM280" s="149">
        <v>0.3</v>
      </c>
      <c r="BN280" s="62"/>
      <c r="BO280" s="470"/>
      <c r="BP280" s="485"/>
      <c r="BQ280" s="483"/>
      <c r="BR280" s="486"/>
      <c r="BS280" s="487"/>
      <c r="BT280" s="485"/>
      <c r="BU280" s="483"/>
      <c r="BV280" s="486"/>
      <c r="BW280" s="487"/>
      <c r="BX280" s="440"/>
      <c r="BY280" s="488"/>
      <c r="BZ280" s="489">
        <f t="shared" si="163"/>
        <v>3.3</v>
      </c>
      <c r="CA280" s="490"/>
      <c r="CB280" s="491"/>
      <c r="CC280" s="72">
        <f t="shared" si="162"/>
        <v>3.3</v>
      </c>
      <c r="CD280" s="562"/>
      <c r="CE280" s="561"/>
      <c r="CF280" s="492">
        <v>32.299999999999997</v>
      </c>
      <c r="CG280" s="74"/>
      <c r="CH280" s="74"/>
      <c r="CI280" s="74"/>
      <c r="CJ280" s="74"/>
      <c r="CK280" s="74"/>
      <c r="CL280" s="74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31"/>
      <c r="DB280" s="31"/>
      <c r="DC280" s="31"/>
      <c r="DD280" s="31"/>
      <c r="DE280" s="31"/>
      <c r="DF280" s="31"/>
      <c r="DG280" s="134"/>
      <c r="DI280" s="826"/>
      <c r="DJ280" s="788"/>
    </row>
    <row r="281" spans="1:114" s="783" customFormat="1" hidden="1">
      <c r="A281" s="194"/>
      <c r="B281" s="195" t="s">
        <v>60</v>
      </c>
      <c r="C281" s="840" t="s">
        <v>54</v>
      </c>
      <c r="D281" s="31"/>
      <c r="E281" s="31"/>
      <c r="F281" s="31"/>
      <c r="G281" s="31"/>
      <c r="H281" s="242"/>
      <c r="I281" s="242"/>
      <c r="J281" s="242"/>
      <c r="K281" s="242"/>
      <c r="L281" s="242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242"/>
      <c r="Y281" s="155"/>
      <c r="Z281" s="242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242"/>
      <c r="AK281" s="156"/>
      <c r="AL281" s="242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242"/>
      <c r="AW281" s="156"/>
      <c r="AX281" s="108"/>
      <c r="AY281" s="31"/>
      <c r="AZ281" s="109"/>
      <c r="BA281" s="62"/>
      <c r="BB281" s="62"/>
      <c r="BC281" s="62"/>
      <c r="BD281" s="62"/>
      <c r="BE281" s="110"/>
      <c r="BF281" s="109"/>
      <c r="BG281" s="62"/>
      <c r="BH281" s="62"/>
      <c r="BI281" s="110"/>
      <c r="BJ281" s="426">
        <f>BA281-AZ281</f>
        <v>0</v>
      </c>
      <c r="BK281" s="427"/>
      <c r="BL281" s="560"/>
      <c r="BM281" s="149"/>
      <c r="BN281" s="62"/>
      <c r="BO281" s="470"/>
      <c r="BP281" s="485"/>
      <c r="BQ281" s="483"/>
      <c r="BR281" s="486"/>
      <c r="BS281" s="487"/>
      <c r="BT281" s="485"/>
      <c r="BU281" s="483"/>
      <c r="BV281" s="486"/>
      <c r="BW281" s="487"/>
      <c r="BX281" s="440"/>
      <c r="BY281" s="488"/>
      <c r="BZ281" s="489">
        <f t="shared" si="163"/>
        <v>0</v>
      </c>
      <c r="CA281" s="490"/>
      <c r="CB281" s="491"/>
      <c r="CC281" s="72">
        <f t="shared" si="162"/>
        <v>0</v>
      </c>
      <c r="CD281" s="562"/>
      <c r="CE281" s="561"/>
      <c r="CF281" s="492">
        <v>4.5599999999999996</v>
      </c>
      <c r="CG281" s="74"/>
      <c r="CH281" s="74"/>
      <c r="CI281" s="74"/>
      <c r="CJ281" s="74"/>
      <c r="CK281" s="74"/>
      <c r="CL281" s="74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31"/>
      <c r="DB281" s="31"/>
      <c r="DC281" s="31"/>
      <c r="DD281" s="31"/>
      <c r="DE281" s="31"/>
      <c r="DF281" s="31"/>
      <c r="DG281" s="134"/>
      <c r="DI281" s="826"/>
      <c r="DJ281" s="788"/>
    </row>
    <row r="282" spans="1:114" s="783" customFormat="1" hidden="1">
      <c r="A282" s="194"/>
      <c r="B282" s="195" t="s">
        <v>61</v>
      </c>
      <c r="C282" s="840" t="s">
        <v>54</v>
      </c>
      <c r="D282" s="31"/>
      <c r="E282" s="31"/>
      <c r="F282" s="31"/>
      <c r="G282" s="31"/>
      <c r="H282" s="242"/>
      <c r="I282" s="242"/>
      <c r="J282" s="242"/>
      <c r="K282" s="242"/>
      <c r="L282" s="242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242"/>
      <c r="Y282" s="155"/>
      <c r="Z282" s="242"/>
      <c r="AA282" s="134">
        <v>0.36399999999999999</v>
      </c>
      <c r="AB282" s="134"/>
      <c r="AC282" s="134"/>
      <c r="AD282" s="134"/>
      <c r="AE282" s="134"/>
      <c r="AF282" s="134"/>
      <c r="AG282" s="134"/>
      <c r="AH282" s="134"/>
      <c r="AI282" s="134"/>
      <c r="AJ282" s="242"/>
      <c r="AK282" s="156"/>
      <c r="AL282" s="242"/>
      <c r="AM282" s="134">
        <v>0.36399999999999999</v>
      </c>
      <c r="AN282" s="134"/>
      <c r="AO282" s="134"/>
      <c r="AP282" s="134"/>
      <c r="AQ282" s="134"/>
      <c r="AR282" s="134"/>
      <c r="AS282" s="134"/>
      <c r="AT282" s="134"/>
      <c r="AU282" s="134"/>
      <c r="AV282" s="242"/>
      <c r="AW282" s="156"/>
      <c r="AX282" s="108"/>
      <c r="AY282" s="31"/>
      <c r="AZ282" s="109"/>
      <c r="BA282" s="62"/>
      <c r="BB282" s="62"/>
      <c r="BC282" s="62"/>
      <c r="BD282" s="62"/>
      <c r="BE282" s="110"/>
      <c r="BF282" s="109"/>
      <c r="BG282" s="62"/>
      <c r="BH282" s="62">
        <f>AY282</f>
        <v>0</v>
      </c>
      <c r="BI282" s="110"/>
      <c r="BJ282" s="426">
        <f>BA282-AZ282</f>
        <v>0</v>
      </c>
      <c r="BK282" s="427"/>
      <c r="BL282" s="560"/>
      <c r="BM282" s="149">
        <v>0.36399999999999999</v>
      </c>
      <c r="BN282" s="62"/>
      <c r="BO282" s="470"/>
      <c r="BP282" s="485"/>
      <c r="BQ282" s="483"/>
      <c r="BR282" s="486"/>
      <c r="BS282" s="487"/>
      <c r="BT282" s="485"/>
      <c r="BU282" s="483"/>
      <c r="BV282" s="486"/>
      <c r="BW282" s="487"/>
      <c r="BX282" s="440"/>
      <c r="BY282" s="488"/>
      <c r="BZ282" s="489">
        <f t="shared" si="163"/>
        <v>0.36399999999999999</v>
      </c>
      <c r="CA282" s="490"/>
      <c r="CB282" s="491"/>
      <c r="CC282" s="72">
        <f t="shared" si="162"/>
        <v>0.36399999999999999</v>
      </c>
      <c r="CD282" s="562"/>
      <c r="CE282" s="561"/>
      <c r="CF282" s="492">
        <v>1.71</v>
      </c>
      <c r="CG282" s="74"/>
      <c r="CH282" s="74"/>
      <c r="CI282" s="74"/>
      <c r="CJ282" s="74"/>
      <c r="CK282" s="74"/>
      <c r="CL282" s="74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31"/>
      <c r="DB282" s="31"/>
      <c r="DC282" s="31"/>
      <c r="DD282" s="31"/>
      <c r="DE282" s="31"/>
      <c r="DF282" s="31"/>
      <c r="DG282" s="134"/>
      <c r="DI282" s="826"/>
      <c r="DJ282" s="788"/>
    </row>
    <row r="283" spans="1:114" s="783" customFormat="1" hidden="1">
      <c r="A283" s="194"/>
      <c r="B283" s="195" t="s">
        <v>197</v>
      </c>
      <c r="C283" s="840"/>
      <c r="D283" s="31"/>
      <c r="E283" s="31"/>
      <c r="F283" s="31"/>
      <c r="G283" s="31"/>
      <c r="H283" s="242"/>
      <c r="I283" s="242"/>
      <c r="J283" s="242"/>
      <c r="K283" s="242"/>
      <c r="L283" s="242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242"/>
      <c r="Y283" s="155"/>
      <c r="Z283" s="242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242"/>
      <c r="AK283" s="156"/>
      <c r="AL283" s="242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242"/>
      <c r="AW283" s="156"/>
      <c r="AX283" s="108"/>
      <c r="AY283" s="31"/>
      <c r="AZ283" s="109"/>
      <c r="BA283" s="62"/>
      <c r="BB283" s="62"/>
      <c r="BC283" s="62"/>
      <c r="BD283" s="62"/>
      <c r="BE283" s="110"/>
      <c r="BF283" s="109"/>
      <c r="BG283" s="62"/>
      <c r="BH283" s="62">
        <f>AY283</f>
        <v>0</v>
      </c>
      <c r="BI283" s="110"/>
      <c r="BJ283" s="426"/>
      <c r="BK283" s="427"/>
      <c r="BL283" s="560"/>
      <c r="BM283" s="149"/>
      <c r="BN283" s="62"/>
      <c r="BO283" s="470"/>
      <c r="BP283" s="485"/>
      <c r="BQ283" s="483"/>
      <c r="BR283" s="486"/>
      <c r="BS283" s="487"/>
      <c r="BT283" s="485"/>
      <c r="BU283" s="483"/>
      <c r="BV283" s="486"/>
      <c r="BW283" s="487"/>
      <c r="BX283" s="440"/>
      <c r="BY283" s="488"/>
      <c r="BZ283" s="489"/>
      <c r="CA283" s="490"/>
      <c r="CB283" s="491"/>
      <c r="CC283" s="72"/>
      <c r="CD283" s="562"/>
      <c r="CE283" s="561"/>
      <c r="CF283" s="492"/>
      <c r="CG283" s="74"/>
      <c r="CH283" s="74"/>
      <c r="CI283" s="74"/>
      <c r="CJ283" s="74"/>
      <c r="CK283" s="74"/>
      <c r="CL283" s="74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31"/>
      <c r="DB283" s="31"/>
      <c r="DC283" s="31"/>
      <c r="DD283" s="31"/>
      <c r="DE283" s="31"/>
      <c r="DF283" s="31"/>
      <c r="DG283" s="134"/>
      <c r="DI283" s="826"/>
      <c r="DJ283" s="788"/>
    </row>
    <row r="284" spans="1:114" s="783" customFormat="1" hidden="1">
      <c r="A284" s="194"/>
      <c r="B284" s="195" t="s">
        <v>62</v>
      </c>
      <c r="C284" s="840"/>
      <c r="D284" s="31"/>
      <c r="E284" s="31"/>
      <c r="F284" s="31"/>
      <c r="G284" s="31"/>
      <c r="H284" s="242"/>
      <c r="I284" s="242"/>
      <c r="J284" s="242"/>
      <c r="K284" s="242"/>
      <c r="L284" s="242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242"/>
      <c r="Y284" s="155"/>
      <c r="Z284" s="242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242"/>
      <c r="AK284" s="156"/>
      <c r="AL284" s="242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242"/>
      <c r="AW284" s="156"/>
      <c r="AX284" s="108"/>
      <c r="AY284" s="31"/>
      <c r="AZ284" s="109"/>
      <c r="BA284" s="62"/>
      <c r="BB284" s="62"/>
      <c r="BC284" s="62"/>
      <c r="BD284" s="62"/>
      <c r="BE284" s="110"/>
      <c r="BF284" s="109"/>
      <c r="BG284" s="62"/>
      <c r="BH284" s="62">
        <v>7</v>
      </c>
      <c r="BI284" s="110"/>
      <c r="BJ284" s="426"/>
      <c r="BK284" s="427"/>
      <c r="BL284" s="560"/>
      <c r="BM284" s="149"/>
      <c r="BN284" s="62"/>
      <c r="BO284" s="470"/>
      <c r="BP284" s="485"/>
      <c r="BQ284" s="483"/>
      <c r="BR284" s="486"/>
      <c r="BS284" s="487"/>
      <c r="BT284" s="485"/>
      <c r="BU284" s="483"/>
      <c r="BV284" s="486"/>
      <c r="BW284" s="487"/>
      <c r="BX284" s="440"/>
      <c r="BY284" s="488"/>
      <c r="BZ284" s="489"/>
      <c r="CA284" s="490"/>
      <c r="CB284" s="491"/>
      <c r="CC284" s="72"/>
      <c r="CD284" s="562"/>
      <c r="CE284" s="561"/>
      <c r="CF284" s="492"/>
      <c r="CG284" s="74"/>
      <c r="CH284" s="74"/>
      <c r="CI284" s="74"/>
      <c r="CJ284" s="74"/>
      <c r="CK284" s="74"/>
      <c r="CL284" s="74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31"/>
      <c r="DB284" s="31"/>
      <c r="DC284" s="31"/>
      <c r="DD284" s="31"/>
      <c r="DE284" s="31"/>
      <c r="DF284" s="31"/>
      <c r="DG284" s="134"/>
      <c r="DI284" s="826"/>
      <c r="DJ284" s="788"/>
    </row>
    <row r="285" spans="1:114" s="783" customFormat="1" hidden="1">
      <c r="A285" s="194"/>
      <c r="B285" s="195" t="s">
        <v>216</v>
      </c>
      <c r="C285" s="840"/>
      <c r="D285" s="31"/>
      <c r="E285" s="31"/>
      <c r="F285" s="31"/>
      <c r="G285" s="31"/>
      <c r="H285" s="242"/>
      <c r="I285" s="242"/>
      <c r="J285" s="242"/>
      <c r="K285" s="242"/>
      <c r="L285" s="242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242"/>
      <c r="Y285" s="155"/>
      <c r="Z285" s="242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242"/>
      <c r="AK285" s="156"/>
      <c r="AL285" s="242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242"/>
      <c r="AW285" s="156"/>
      <c r="AX285" s="108"/>
      <c r="AY285" s="31"/>
      <c r="AZ285" s="109"/>
      <c r="BA285" s="62"/>
      <c r="BB285" s="62"/>
      <c r="BC285" s="62"/>
      <c r="BD285" s="62"/>
      <c r="BE285" s="110"/>
      <c r="BF285" s="109">
        <f>AY285</f>
        <v>0</v>
      </c>
      <c r="BG285" s="62"/>
      <c r="BH285" s="62"/>
      <c r="BI285" s="110"/>
      <c r="BJ285" s="426"/>
      <c r="BK285" s="427"/>
      <c r="BL285" s="560"/>
      <c r="BM285" s="149"/>
      <c r="BN285" s="62"/>
      <c r="BO285" s="470"/>
      <c r="BP285" s="485"/>
      <c r="BQ285" s="483"/>
      <c r="BR285" s="486"/>
      <c r="BS285" s="487"/>
      <c r="BT285" s="485"/>
      <c r="BU285" s="483"/>
      <c r="BV285" s="486"/>
      <c r="BW285" s="487"/>
      <c r="BX285" s="440"/>
      <c r="BY285" s="488"/>
      <c r="BZ285" s="489"/>
      <c r="CA285" s="490"/>
      <c r="CB285" s="491"/>
      <c r="CC285" s="72"/>
      <c r="CD285" s="562"/>
      <c r="CE285" s="561"/>
      <c r="CF285" s="492"/>
      <c r="CG285" s="74"/>
      <c r="CH285" s="74"/>
      <c r="CI285" s="74"/>
      <c r="CJ285" s="74"/>
      <c r="CK285" s="74"/>
      <c r="CL285" s="74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31"/>
      <c r="DB285" s="31"/>
      <c r="DC285" s="31"/>
      <c r="DD285" s="31"/>
      <c r="DE285" s="31"/>
      <c r="DF285" s="31"/>
      <c r="DG285" s="134"/>
      <c r="DI285" s="826"/>
      <c r="DJ285" s="788"/>
    </row>
    <row r="286" spans="1:114" s="783" customFormat="1" hidden="1">
      <c r="A286" s="194"/>
      <c r="B286" s="195" t="s">
        <v>73</v>
      </c>
      <c r="C286" s="840" t="s">
        <v>54</v>
      </c>
      <c r="D286" s="31"/>
      <c r="E286" s="31"/>
      <c r="F286" s="31"/>
      <c r="G286" s="31"/>
      <c r="H286" s="242"/>
      <c r="I286" s="242"/>
      <c r="J286" s="242"/>
      <c r="K286" s="242"/>
      <c r="L286" s="242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242"/>
      <c r="Y286" s="155"/>
      <c r="Z286" s="242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242"/>
      <c r="AK286" s="156"/>
      <c r="AL286" s="242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242"/>
      <c r="AW286" s="156"/>
      <c r="AX286" s="108"/>
      <c r="AY286" s="31"/>
      <c r="AZ286" s="109"/>
      <c r="BA286" s="62"/>
      <c r="BB286" s="62"/>
      <c r="BC286" s="62"/>
      <c r="BD286" s="62"/>
      <c r="BE286" s="110"/>
      <c r="BF286" s="109"/>
      <c r="BG286" s="62"/>
      <c r="BH286" s="62"/>
      <c r="BI286" s="110"/>
      <c r="BJ286" s="426">
        <f t="shared" ref="BJ286:BJ296" si="164">BA286-AZ286</f>
        <v>0</v>
      </c>
      <c r="BK286" s="427"/>
      <c r="BL286" s="560"/>
      <c r="BM286" s="149"/>
      <c r="BN286" s="62"/>
      <c r="BO286" s="470"/>
      <c r="BP286" s="485"/>
      <c r="BQ286" s="483"/>
      <c r="BR286" s="486"/>
      <c r="BS286" s="487"/>
      <c r="BT286" s="485"/>
      <c r="BU286" s="483"/>
      <c r="BV286" s="486"/>
      <c r="BW286" s="487"/>
      <c r="BX286" s="440"/>
      <c r="BY286" s="488"/>
      <c r="BZ286" s="489">
        <f t="shared" si="163"/>
        <v>0</v>
      </c>
      <c r="CA286" s="490"/>
      <c r="CB286" s="491"/>
      <c r="CC286" s="72">
        <f t="shared" si="162"/>
        <v>0</v>
      </c>
      <c r="CD286" s="562"/>
      <c r="CE286" s="561"/>
      <c r="CF286" s="492">
        <v>31.5</v>
      </c>
      <c r="CG286" s="74"/>
      <c r="CH286" s="74"/>
      <c r="CI286" s="74"/>
      <c r="CJ286" s="74"/>
      <c r="CK286" s="74"/>
      <c r="CL286" s="74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31"/>
      <c r="DB286" s="31"/>
      <c r="DC286" s="31"/>
      <c r="DD286" s="31"/>
      <c r="DE286" s="31"/>
      <c r="DF286" s="31"/>
      <c r="DG286" s="134"/>
      <c r="DI286" s="826"/>
      <c r="DJ286" s="788"/>
    </row>
    <row r="287" spans="1:114" s="783" customFormat="1" hidden="1">
      <c r="A287" s="194"/>
      <c r="B287" s="195" t="s">
        <v>72</v>
      </c>
      <c r="C287" s="840" t="s">
        <v>54</v>
      </c>
      <c r="D287" s="31"/>
      <c r="E287" s="31"/>
      <c r="F287" s="31"/>
      <c r="G287" s="31"/>
      <c r="H287" s="242"/>
      <c r="I287" s="242"/>
      <c r="J287" s="242"/>
      <c r="K287" s="242"/>
      <c r="L287" s="242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242"/>
      <c r="Y287" s="155"/>
      <c r="Z287" s="242"/>
      <c r="AA287" s="134">
        <v>19.2</v>
      </c>
      <c r="AB287" s="134"/>
      <c r="AC287" s="134"/>
      <c r="AD287" s="134"/>
      <c r="AE287" s="134"/>
      <c r="AF287" s="134"/>
      <c r="AG287" s="134"/>
      <c r="AH287" s="134"/>
      <c r="AI287" s="134"/>
      <c r="AJ287" s="242"/>
      <c r="AK287" s="156"/>
      <c r="AL287" s="242"/>
      <c r="AM287" s="134">
        <v>19.2</v>
      </c>
      <c r="AN287" s="134"/>
      <c r="AO287" s="134"/>
      <c r="AP287" s="134"/>
      <c r="AQ287" s="134"/>
      <c r="AR287" s="134"/>
      <c r="AS287" s="134"/>
      <c r="AT287" s="134"/>
      <c r="AU287" s="134"/>
      <c r="AV287" s="242"/>
      <c r="AW287" s="156"/>
      <c r="AX287" s="108"/>
      <c r="AY287" s="31"/>
      <c r="AZ287" s="109"/>
      <c r="BA287" s="62"/>
      <c r="BB287" s="62"/>
      <c r="BC287" s="62"/>
      <c r="BD287" s="62"/>
      <c r="BE287" s="110"/>
      <c r="BF287" s="109"/>
      <c r="BG287" s="62"/>
      <c r="BH287" s="62"/>
      <c r="BI287" s="110"/>
      <c r="BJ287" s="426">
        <f t="shared" si="164"/>
        <v>0</v>
      </c>
      <c r="BK287" s="427"/>
      <c r="BL287" s="560"/>
      <c r="BM287" s="149">
        <v>19.2</v>
      </c>
      <c r="BN287" s="62"/>
      <c r="BO287" s="470"/>
      <c r="BP287" s="485"/>
      <c r="BQ287" s="483"/>
      <c r="BR287" s="486"/>
      <c r="BS287" s="487"/>
      <c r="BT287" s="485"/>
      <c r="BU287" s="483"/>
      <c r="BV287" s="486"/>
      <c r="BW287" s="487"/>
      <c r="BX287" s="440"/>
      <c r="BY287" s="488"/>
      <c r="BZ287" s="489">
        <f t="shared" si="163"/>
        <v>19.2</v>
      </c>
      <c r="CA287" s="490"/>
      <c r="CB287" s="491"/>
      <c r="CC287" s="72">
        <f t="shared" si="162"/>
        <v>19.2</v>
      </c>
      <c r="CD287" s="562"/>
      <c r="CE287" s="561"/>
      <c r="CF287" s="492">
        <v>22.2</v>
      </c>
      <c r="CG287" s="74"/>
      <c r="CH287" s="74"/>
      <c r="CI287" s="74"/>
      <c r="CJ287" s="74"/>
      <c r="CK287" s="74"/>
      <c r="CL287" s="74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31"/>
      <c r="DB287" s="31"/>
      <c r="DC287" s="31"/>
      <c r="DD287" s="31"/>
      <c r="DE287" s="31"/>
      <c r="DF287" s="31"/>
      <c r="DG287" s="134"/>
      <c r="DI287" s="826"/>
      <c r="DJ287" s="788"/>
    </row>
    <row r="288" spans="1:114" s="783" customFormat="1" hidden="1">
      <c r="A288" s="194"/>
      <c r="B288" s="195" t="s">
        <v>19</v>
      </c>
      <c r="C288" s="840" t="s">
        <v>54</v>
      </c>
      <c r="D288" s="31"/>
      <c r="E288" s="31"/>
      <c r="F288" s="31"/>
      <c r="G288" s="31"/>
      <c r="H288" s="242"/>
      <c r="I288" s="242"/>
      <c r="J288" s="242"/>
      <c r="K288" s="242"/>
      <c r="L288" s="242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242"/>
      <c r="Y288" s="155"/>
      <c r="Z288" s="242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242"/>
      <c r="AK288" s="156"/>
      <c r="AL288" s="242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242"/>
      <c r="AW288" s="156"/>
      <c r="AX288" s="108"/>
      <c r="AY288" s="31"/>
      <c r="AZ288" s="109"/>
      <c r="BA288" s="62"/>
      <c r="BB288" s="62"/>
      <c r="BC288" s="62"/>
      <c r="BD288" s="62"/>
      <c r="BE288" s="110"/>
      <c r="BF288" s="109"/>
      <c r="BG288" s="62"/>
      <c r="BH288" s="62"/>
      <c r="BI288" s="110"/>
      <c r="BJ288" s="426">
        <f t="shared" si="164"/>
        <v>0</v>
      </c>
      <c r="BK288" s="427"/>
      <c r="BL288" s="560"/>
      <c r="BM288" s="149"/>
      <c r="BN288" s="62"/>
      <c r="BO288" s="470"/>
      <c r="BP288" s="485"/>
      <c r="BQ288" s="483"/>
      <c r="BR288" s="486"/>
      <c r="BS288" s="487"/>
      <c r="BT288" s="485"/>
      <c r="BU288" s="483"/>
      <c r="BV288" s="486"/>
      <c r="BW288" s="487"/>
      <c r="BX288" s="440"/>
      <c r="BY288" s="488"/>
      <c r="BZ288" s="489">
        <f t="shared" si="163"/>
        <v>0</v>
      </c>
      <c r="CA288" s="490"/>
      <c r="CB288" s="491"/>
      <c r="CC288" s="72">
        <f t="shared" si="162"/>
        <v>0</v>
      </c>
      <c r="CD288" s="562"/>
      <c r="CE288" s="561"/>
      <c r="CF288" s="492">
        <v>1.57</v>
      </c>
      <c r="CG288" s="74"/>
      <c r="CH288" s="74"/>
      <c r="CI288" s="74"/>
      <c r="CJ288" s="74"/>
      <c r="CK288" s="74"/>
      <c r="CL288" s="74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31"/>
      <c r="DB288" s="31"/>
      <c r="DC288" s="31"/>
      <c r="DD288" s="31"/>
      <c r="DE288" s="31"/>
      <c r="DF288" s="31"/>
      <c r="DG288" s="134"/>
      <c r="DI288" s="826"/>
      <c r="DJ288" s="788"/>
    </row>
    <row r="289" spans="1:114" s="783" customFormat="1" hidden="1">
      <c r="A289" s="194" t="s">
        <v>146</v>
      </c>
      <c r="B289" s="199" t="s">
        <v>15</v>
      </c>
      <c r="C289" s="840" t="s">
        <v>54</v>
      </c>
      <c r="D289" s="179"/>
      <c r="E289" s="179"/>
      <c r="F289" s="179"/>
      <c r="G289" s="179"/>
      <c r="H289" s="283"/>
      <c r="I289" s="283"/>
      <c r="J289" s="283"/>
      <c r="K289" s="283"/>
      <c r="L289" s="283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283"/>
      <c r="Y289" s="284"/>
      <c r="Z289" s="283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283"/>
      <c r="AK289" s="285"/>
      <c r="AL289" s="283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283"/>
      <c r="AW289" s="285"/>
      <c r="AX289" s="108">
        <v>5.2</v>
      </c>
      <c r="AY289" s="179"/>
      <c r="AZ289" s="184"/>
      <c r="BA289" s="185"/>
      <c r="BB289" s="185"/>
      <c r="BC289" s="185"/>
      <c r="BD289" s="185"/>
      <c r="BE289" s="186"/>
      <c r="BF289" s="184"/>
      <c r="BG289" s="185"/>
      <c r="BH289" s="185">
        <f>SUM(BH290)</f>
        <v>0</v>
      </c>
      <c r="BI289" s="186"/>
      <c r="BJ289" s="426">
        <f t="shared" si="164"/>
        <v>0</v>
      </c>
      <c r="BK289" s="427"/>
      <c r="BL289" s="637"/>
      <c r="BM289" s="204">
        <f>BM290</f>
        <v>0</v>
      </c>
      <c r="BN289" s="185"/>
      <c r="BO289" s="470"/>
      <c r="BP289" s="496"/>
      <c r="BQ289" s="495"/>
      <c r="BR289" s="497"/>
      <c r="BS289" s="498"/>
      <c r="BT289" s="496"/>
      <c r="BU289" s="495"/>
      <c r="BV289" s="497"/>
      <c r="BW289" s="498"/>
      <c r="BX289" s="499"/>
      <c r="BY289" s="500"/>
      <c r="BZ289" s="501">
        <f>SUM(BZ290)</f>
        <v>0</v>
      </c>
      <c r="CA289" s="502"/>
      <c r="CB289" s="503"/>
      <c r="CC289" s="72">
        <f t="shared" si="162"/>
        <v>0</v>
      </c>
      <c r="CD289" s="638"/>
      <c r="CE289" s="639"/>
      <c r="CF289" s="505">
        <f>SUM(CF290)</f>
        <v>3.53</v>
      </c>
      <c r="CG289" s="465"/>
      <c r="CH289" s="465"/>
      <c r="CI289" s="465"/>
      <c r="CJ289" s="465"/>
      <c r="CK289" s="465"/>
      <c r="CL289" s="465"/>
      <c r="CM289" s="466"/>
      <c r="CN289" s="466"/>
      <c r="CO289" s="466"/>
      <c r="CP289" s="466"/>
      <c r="CQ289" s="466"/>
      <c r="CR289" s="466"/>
      <c r="CS289" s="466"/>
      <c r="CT289" s="466"/>
      <c r="CU289" s="466"/>
      <c r="CV289" s="466"/>
      <c r="CW289" s="466"/>
      <c r="CX289" s="466"/>
      <c r="CY289" s="466"/>
      <c r="CZ289" s="466"/>
      <c r="DA289" s="179"/>
      <c r="DB289" s="179"/>
      <c r="DC289" s="179"/>
      <c r="DD289" s="179"/>
      <c r="DE289" s="179"/>
      <c r="DF289" s="179"/>
      <c r="DG289" s="180"/>
      <c r="DI289" s="826"/>
      <c r="DJ289" s="788"/>
    </row>
    <row r="290" spans="1:114" s="783" customFormat="1" hidden="1">
      <c r="A290" s="194"/>
      <c r="B290" s="195" t="s">
        <v>16</v>
      </c>
      <c r="C290" s="840" t="s">
        <v>54</v>
      </c>
      <c r="D290" s="31"/>
      <c r="E290" s="31"/>
      <c r="F290" s="31"/>
      <c r="G290" s="31"/>
      <c r="H290" s="242"/>
      <c r="I290" s="242"/>
      <c r="J290" s="242"/>
      <c r="K290" s="242"/>
      <c r="L290" s="242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242"/>
      <c r="Y290" s="155"/>
      <c r="Z290" s="242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242"/>
      <c r="AK290" s="156"/>
      <c r="AL290" s="242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242"/>
      <c r="AW290" s="156"/>
      <c r="AX290" s="108"/>
      <c r="AY290" s="31"/>
      <c r="AZ290" s="109"/>
      <c r="BA290" s="62"/>
      <c r="BB290" s="62"/>
      <c r="BC290" s="62"/>
      <c r="BD290" s="62"/>
      <c r="BE290" s="110"/>
      <c r="BF290" s="109"/>
      <c r="BG290" s="62"/>
      <c r="BH290" s="62">
        <f>AY290</f>
        <v>0</v>
      </c>
      <c r="BI290" s="110"/>
      <c r="BJ290" s="426">
        <f t="shared" si="164"/>
        <v>0</v>
      </c>
      <c r="BK290" s="427"/>
      <c r="BL290" s="560"/>
      <c r="BM290" s="149"/>
      <c r="BN290" s="62"/>
      <c r="BO290" s="470"/>
      <c r="BP290" s="485"/>
      <c r="BQ290" s="483"/>
      <c r="BR290" s="486"/>
      <c r="BS290" s="487"/>
      <c r="BT290" s="485"/>
      <c r="BU290" s="483"/>
      <c r="BV290" s="486"/>
      <c r="BW290" s="487"/>
      <c r="BX290" s="440"/>
      <c r="BY290" s="488"/>
      <c r="BZ290" s="489">
        <f>M290+BM290+BQ290+BU290</f>
        <v>0</v>
      </c>
      <c r="CA290" s="490"/>
      <c r="CB290" s="491"/>
      <c r="CC290" s="72">
        <f t="shared" si="162"/>
        <v>0</v>
      </c>
      <c r="CD290" s="562"/>
      <c r="CE290" s="561"/>
      <c r="CF290" s="492">
        <v>3.53</v>
      </c>
      <c r="CG290" s="74"/>
      <c r="CH290" s="74"/>
      <c r="CI290" s="74"/>
      <c r="CJ290" s="74"/>
      <c r="CK290" s="74"/>
      <c r="CL290" s="74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31"/>
      <c r="DB290" s="31"/>
      <c r="DC290" s="31"/>
      <c r="DD290" s="31"/>
      <c r="DE290" s="31"/>
      <c r="DF290" s="31"/>
      <c r="DG290" s="134"/>
      <c r="DI290" s="826"/>
      <c r="DJ290" s="788"/>
    </row>
    <row r="291" spans="1:114" s="783" customFormat="1" hidden="1">
      <c r="A291" s="194" t="s">
        <v>147</v>
      </c>
      <c r="B291" s="199" t="s">
        <v>20</v>
      </c>
      <c r="C291" s="840" t="s">
        <v>54</v>
      </c>
      <c r="D291" s="179"/>
      <c r="E291" s="179"/>
      <c r="F291" s="179"/>
      <c r="G291" s="179"/>
      <c r="H291" s="283"/>
      <c r="I291" s="283"/>
      <c r="J291" s="283"/>
      <c r="K291" s="283"/>
      <c r="L291" s="283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283"/>
      <c r="Y291" s="284"/>
      <c r="Z291" s="283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283"/>
      <c r="AK291" s="285"/>
      <c r="AL291" s="283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283"/>
      <c r="AW291" s="285"/>
      <c r="AX291" s="108">
        <v>1.98</v>
      </c>
      <c r="AY291" s="179"/>
      <c r="AZ291" s="184"/>
      <c r="BA291" s="185"/>
      <c r="BB291" s="185"/>
      <c r="BC291" s="185"/>
      <c r="BD291" s="185"/>
      <c r="BE291" s="186"/>
      <c r="BF291" s="184"/>
      <c r="BG291" s="185"/>
      <c r="BH291" s="185">
        <f>SUM(BH292)</f>
        <v>0</v>
      </c>
      <c r="BI291" s="186"/>
      <c r="BJ291" s="426">
        <f t="shared" si="164"/>
        <v>0</v>
      </c>
      <c r="BK291" s="427"/>
      <c r="BL291" s="637"/>
      <c r="BM291" s="204">
        <f>BM292</f>
        <v>0</v>
      </c>
      <c r="BN291" s="185"/>
      <c r="BO291" s="470"/>
      <c r="BP291" s="496"/>
      <c r="BQ291" s="495"/>
      <c r="BR291" s="497"/>
      <c r="BS291" s="498"/>
      <c r="BT291" s="496"/>
      <c r="BU291" s="495"/>
      <c r="BV291" s="497"/>
      <c r="BW291" s="498"/>
      <c r="BX291" s="499"/>
      <c r="BY291" s="500"/>
      <c r="BZ291" s="501">
        <f>SUM(BZ292)</f>
        <v>0</v>
      </c>
      <c r="CA291" s="502"/>
      <c r="CB291" s="503"/>
      <c r="CC291" s="72">
        <f t="shared" si="162"/>
        <v>0</v>
      </c>
      <c r="CD291" s="638"/>
      <c r="CE291" s="639"/>
      <c r="CF291" s="505">
        <f>SUM(CF292)</f>
        <v>2.92</v>
      </c>
      <c r="CG291" s="465"/>
      <c r="CH291" s="465"/>
      <c r="CI291" s="465"/>
      <c r="CJ291" s="465"/>
      <c r="CK291" s="465"/>
      <c r="CL291" s="465"/>
      <c r="CM291" s="466"/>
      <c r="CN291" s="466"/>
      <c r="CO291" s="466"/>
      <c r="CP291" s="466"/>
      <c r="CQ291" s="466"/>
      <c r="CR291" s="466"/>
      <c r="CS291" s="466"/>
      <c r="CT291" s="466"/>
      <c r="CU291" s="466"/>
      <c r="CV291" s="466"/>
      <c r="CW291" s="466"/>
      <c r="CX291" s="466"/>
      <c r="CY291" s="466"/>
      <c r="CZ291" s="466"/>
      <c r="DA291" s="179"/>
      <c r="DB291" s="179"/>
      <c r="DC291" s="179"/>
      <c r="DD291" s="179"/>
      <c r="DE291" s="179"/>
      <c r="DF291" s="179"/>
      <c r="DG291" s="180"/>
      <c r="DI291" s="826"/>
      <c r="DJ291" s="788"/>
    </row>
    <row r="292" spans="1:114" s="783" customFormat="1" hidden="1">
      <c r="A292" s="194"/>
      <c r="B292" s="195" t="s">
        <v>21</v>
      </c>
      <c r="C292" s="840" t="s">
        <v>54</v>
      </c>
      <c r="D292" s="78"/>
      <c r="E292" s="78"/>
      <c r="F292" s="78"/>
      <c r="G292" s="78"/>
      <c r="H292" s="242"/>
      <c r="I292" s="242"/>
      <c r="J292" s="242"/>
      <c r="K292" s="242"/>
      <c r="L292" s="242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242"/>
      <c r="Y292" s="155"/>
      <c r="Z292" s="242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242"/>
      <c r="AK292" s="156"/>
      <c r="AL292" s="242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242"/>
      <c r="AW292" s="156"/>
      <c r="AX292" s="108"/>
      <c r="AY292" s="31"/>
      <c r="AZ292" s="109"/>
      <c r="BA292" s="62"/>
      <c r="BB292" s="62"/>
      <c r="BC292" s="62"/>
      <c r="BD292" s="62"/>
      <c r="BE292" s="110"/>
      <c r="BF292" s="109"/>
      <c r="BG292" s="62"/>
      <c r="BH292" s="62">
        <f>AY292</f>
        <v>0</v>
      </c>
      <c r="BI292" s="110"/>
      <c r="BJ292" s="426">
        <f t="shared" si="164"/>
        <v>0</v>
      </c>
      <c r="BK292" s="427"/>
      <c r="BL292" s="560"/>
      <c r="BM292" s="149"/>
      <c r="BN292" s="62"/>
      <c r="BO292" s="470"/>
      <c r="BP292" s="485"/>
      <c r="BQ292" s="483"/>
      <c r="BR292" s="486"/>
      <c r="BS292" s="487"/>
      <c r="BT292" s="485"/>
      <c r="BU292" s="483"/>
      <c r="BV292" s="486"/>
      <c r="BW292" s="487"/>
      <c r="BX292" s="440"/>
      <c r="BY292" s="488"/>
      <c r="BZ292" s="489">
        <f>M292+BM292+BQ292+BU292</f>
        <v>0</v>
      </c>
      <c r="CA292" s="490"/>
      <c r="CB292" s="491"/>
      <c r="CC292" s="72">
        <f t="shared" si="162"/>
        <v>0</v>
      </c>
      <c r="CD292" s="562"/>
      <c r="CE292" s="561"/>
      <c r="CF292" s="492">
        <v>2.92</v>
      </c>
      <c r="CG292" s="74"/>
      <c r="CH292" s="74"/>
      <c r="CI292" s="74"/>
      <c r="CJ292" s="74"/>
      <c r="CK292" s="74"/>
      <c r="CL292" s="74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31"/>
      <c r="DB292" s="31"/>
      <c r="DC292" s="78"/>
      <c r="DD292" s="78"/>
      <c r="DE292" s="78"/>
      <c r="DF292" s="78"/>
      <c r="DG292" s="134"/>
      <c r="DI292" s="826"/>
      <c r="DJ292" s="788"/>
    </row>
    <row r="293" spans="1:114" s="783" customFormat="1" hidden="1">
      <c r="A293" s="194" t="s">
        <v>217</v>
      </c>
      <c r="B293" s="199" t="s">
        <v>22</v>
      </c>
      <c r="C293" s="840" t="s">
        <v>54</v>
      </c>
      <c r="D293" s="179"/>
      <c r="E293" s="179"/>
      <c r="F293" s="179"/>
      <c r="G293" s="179"/>
      <c r="H293" s="283"/>
      <c r="I293" s="283"/>
      <c r="J293" s="283"/>
      <c r="K293" s="283"/>
      <c r="L293" s="283"/>
      <c r="M293" s="180">
        <f>SUM(M294:M295)</f>
        <v>5.77</v>
      </c>
      <c r="N293" s="180"/>
      <c r="O293" s="180"/>
      <c r="P293" s="180"/>
      <c r="Q293" s="180"/>
      <c r="R293" s="180"/>
      <c r="S293" s="180"/>
      <c r="T293" s="180"/>
      <c r="U293" s="180"/>
      <c r="V293" s="180"/>
      <c r="W293" s="180">
        <f>SUM(W294)</f>
        <v>5.77</v>
      </c>
      <c r="X293" s="283"/>
      <c r="Y293" s="284"/>
      <c r="Z293" s="283"/>
      <c r="AA293" s="180">
        <f>SUM(AA294:AA295)</f>
        <v>6.8599899999999998</v>
      </c>
      <c r="AB293" s="180"/>
      <c r="AC293" s="180"/>
      <c r="AD293" s="180"/>
      <c r="AE293" s="180"/>
      <c r="AF293" s="180"/>
      <c r="AG293" s="180"/>
      <c r="AH293" s="180"/>
      <c r="AI293" s="180">
        <f>SUM(AI294)</f>
        <v>0</v>
      </c>
      <c r="AJ293" s="283"/>
      <c r="AK293" s="285"/>
      <c r="AL293" s="283"/>
      <c r="AM293" s="180">
        <f>SUM(AM294:AM295)</f>
        <v>6.8599899999999998</v>
      </c>
      <c r="AN293" s="180"/>
      <c r="AO293" s="180"/>
      <c r="AP293" s="180"/>
      <c r="AQ293" s="180"/>
      <c r="AR293" s="180"/>
      <c r="AS293" s="180"/>
      <c r="AT293" s="180"/>
      <c r="AU293" s="180">
        <f>SUM(AU294)</f>
        <v>0</v>
      </c>
      <c r="AV293" s="283"/>
      <c r="AW293" s="285"/>
      <c r="AX293" s="108">
        <v>36.6</v>
      </c>
      <c r="AY293" s="179"/>
      <c r="AZ293" s="184"/>
      <c r="BA293" s="185"/>
      <c r="BB293" s="185"/>
      <c r="BC293" s="185"/>
      <c r="BD293" s="185"/>
      <c r="BE293" s="186"/>
      <c r="BF293" s="184"/>
      <c r="BG293" s="185"/>
      <c r="BH293" s="185">
        <f>SUM(BH294)</f>
        <v>0</v>
      </c>
      <c r="BI293" s="186"/>
      <c r="BJ293" s="426">
        <f t="shared" si="164"/>
        <v>0</v>
      </c>
      <c r="BK293" s="427"/>
      <c r="BL293" s="637"/>
      <c r="BM293" s="204">
        <f>SUM(BM294:BM295)</f>
        <v>6.8599899999999998</v>
      </c>
      <c r="BN293" s="185"/>
      <c r="BO293" s="470"/>
      <c r="BP293" s="496"/>
      <c r="BQ293" s="495"/>
      <c r="BR293" s="497"/>
      <c r="BS293" s="498"/>
      <c r="BT293" s="496"/>
      <c r="BU293" s="495"/>
      <c r="BV293" s="497"/>
      <c r="BW293" s="498"/>
      <c r="BX293" s="499"/>
      <c r="BY293" s="500"/>
      <c r="BZ293" s="501">
        <f>SUM(BZ294:BZ295)</f>
        <v>12.629989999999999</v>
      </c>
      <c r="CA293" s="502"/>
      <c r="CB293" s="503"/>
      <c r="CC293" s="72">
        <f t="shared" si="162"/>
        <v>12.629989999999999</v>
      </c>
      <c r="CD293" s="638"/>
      <c r="CE293" s="639"/>
      <c r="CF293" s="505">
        <f>SUM(CF294:CF295)</f>
        <v>69.25</v>
      </c>
      <c r="CG293" s="465"/>
      <c r="CH293" s="465"/>
      <c r="CI293" s="465"/>
      <c r="CJ293" s="465"/>
      <c r="CK293" s="465"/>
      <c r="CL293" s="465"/>
      <c r="CM293" s="466"/>
      <c r="CN293" s="466"/>
      <c r="CO293" s="466"/>
      <c r="CP293" s="466"/>
      <c r="CQ293" s="466"/>
      <c r="CR293" s="466"/>
      <c r="CS293" s="466"/>
      <c r="CT293" s="466"/>
      <c r="CU293" s="466"/>
      <c r="CV293" s="466"/>
      <c r="CW293" s="466"/>
      <c r="CX293" s="466"/>
      <c r="CY293" s="466"/>
      <c r="CZ293" s="466"/>
      <c r="DA293" s="179"/>
      <c r="DB293" s="179"/>
      <c r="DC293" s="179"/>
      <c r="DD293" s="179"/>
      <c r="DE293" s="179"/>
      <c r="DF293" s="179"/>
      <c r="DG293" s="180"/>
      <c r="DI293" s="826"/>
      <c r="DJ293" s="788"/>
    </row>
    <row r="294" spans="1:114" s="783" customFormat="1" hidden="1">
      <c r="A294" s="194"/>
      <c r="B294" s="195" t="s">
        <v>24</v>
      </c>
      <c r="C294" s="840" t="s">
        <v>54</v>
      </c>
      <c r="D294" s="31"/>
      <c r="E294" s="31"/>
      <c r="F294" s="31"/>
      <c r="G294" s="31"/>
      <c r="H294" s="242"/>
      <c r="I294" s="242"/>
      <c r="J294" s="242"/>
      <c r="K294" s="242"/>
      <c r="L294" s="242"/>
      <c r="M294" s="134">
        <v>5.77</v>
      </c>
      <c r="N294" s="134"/>
      <c r="O294" s="134"/>
      <c r="P294" s="134"/>
      <c r="Q294" s="134"/>
      <c r="R294" s="134"/>
      <c r="S294" s="134"/>
      <c r="T294" s="134"/>
      <c r="U294" s="134"/>
      <c r="V294" s="134"/>
      <c r="W294" s="134">
        <v>5.77</v>
      </c>
      <c r="X294" s="242"/>
      <c r="Y294" s="155"/>
      <c r="Z294" s="242"/>
      <c r="AA294" s="134">
        <v>6.8599899999999998</v>
      </c>
      <c r="AB294" s="134"/>
      <c r="AC294" s="134"/>
      <c r="AD294" s="134"/>
      <c r="AE294" s="134"/>
      <c r="AF294" s="134"/>
      <c r="AG294" s="134"/>
      <c r="AH294" s="134"/>
      <c r="AI294" s="134"/>
      <c r="AJ294" s="242"/>
      <c r="AK294" s="156"/>
      <c r="AL294" s="242"/>
      <c r="AM294" s="134">
        <v>6.8599899999999998</v>
      </c>
      <c r="AN294" s="134"/>
      <c r="AO294" s="134"/>
      <c r="AP294" s="134"/>
      <c r="AQ294" s="134"/>
      <c r="AR294" s="134"/>
      <c r="AS294" s="134"/>
      <c r="AT294" s="134"/>
      <c r="AU294" s="134"/>
      <c r="AV294" s="242"/>
      <c r="AW294" s="156"/>
      <c r="AX294" s="108"/>
      <c r="AY294" s="31"/>
      <c r="AZ294" s="109"/>
      <c r="BA294" s="62"/>
      <c r="BB294" s="62"/>
      <c r="BC294" s="62"/>
      <c r="BD294" s="62"/>
      <c r="BE294" s="110"/>
      <c r="BF294" s="109"/>
      <c r="BG294" s="62"/>
      <c r="BH294" s="62">
        <f>AY294</f>
        <v>0</v>
      </c>
      <c r="BI294" s="110"/>
      <c r="BJ294" s="426">
        <f t="shared" si="164"/>
        <v>0</v>
      </c>
      <c r="BK294" s="427"/>
      <c r="BL294" s="560"/>
      <c r="BM294" s="149">
        <v>6.8599899999999998</v>
      </c>
      <c r="BN294" s="62"/>
      <c r="BO294" s="470"/>
      <c r="BP294" s="485"/>
      <c r="BQ294" s="483"/>
      <c r="BR294" s="486"/>
      <c r="BS294" s="487"/>
      <c r="BT294" s="485"/>
      <c r="BU294" s="483"/>
      <c r="BV294" s="486"/>
      <c r="BW294" s="487"/>
      <c r="BX294" s="440"/>
      <c r="BY294" s="488"/>
      <c r="BZ294" s="489">
        <f>M294+BM294+BQ294+BU294</f>
        <v>12.629989999999999</v>
      </c>
      <c r="CA294" s="490"/>
      <c r="CB294" s="491"/>
      <c r="CC294" s="72">
        <f t="shared" si="162"/>
        <v>12.629989999999999</v>
      </c>
      <c r="CD294" s="562"/>
      <c r="CE294" s="561"/>
      <c r="CF294" s="492">
        <v>68.67</v>
      </c>
      <c r="CG294" s="74"/>
      <c r="CH294" s="74"/>
      <c r="CI294" s="74"/>
      <c r="CJ294" s="74"/>
      <c r="CK294" s="74"/>
      <c r="CL294" s="74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31"/>
      <c r="DB294" s="31"/>
      <c r="DC294" s="31"/>
      <c r="DD294" s="31"/>
      <c r="DE294" s="31"/>
      <c r="DF294" s="31"/>
      <c r="DG294" s="134"/>
      <c r="DI294" s="826"/>
      <c r="DJ294" s="788"/>
    </row>
    <row r="295" spans="1:114" s="783" customFormat="1" hidden="1">
      <c r="A295" s="194"/>
      <c r="B295" s="195" t="s">
        <v>42</v>
      </c>
      <c r="C295" s="840" t="s">
        <v>54</v>
      </c>
      <c r="D295" s="111"/>
      <c r="E295" s="111"/>
      <c r="F295" s="111"/>
      <c r="G295" s="111"/>
      <c r="H295" s="286"/>
      <c r="I295" s="286"/>
      <c r="J295" s="286"/>
      <c r="K295" s="286"/>
      <c r="L295" s="286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286"/>
      <c r="Y295" s="157"/>
      <c r="Z295" s="286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286"/>
      <c r="AK295" s="158"/>
      <c r="AL295" s="286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286"/>
      <c r="AW295" s="158"/>
      <c r="AX295" s="287"/>
      <c r="AY295" s="144"/>
      <c r="AZ295" s="149"/>
      <c r="BA295" s="150"/>
      <c r="BB295" s="150"/>
      <c r="BC295" s="150"/>
      <c r="BD295" s="150"/>
      <c r="BE295" s="151"/>
      <c r="BF295" s="149"/>
      <c r="BG295" s="150"/>
      <c r="BH295" s="150"/>
      <c r="BI295" s="151"/>
      <c r="BJ295" s="435">
        <f t="shared" si="164"/>
        <v>0</v>
      </c>
      <c r="BK295" s="436"/>
      <c r="BL295" s="640"/>
      <c r="BM295" s="149"/>
      <c r="BN295" s="150"/>
      <c r="BO295" s="484"/>
      <c r="BP295" s="485"/>
      <c r="BQ295" s="483"/>
      <c r="BR295" s="486"/>
      <c r="BS295" s="487"/>
      <c r="BT295" s="485"/>
      <c r="BU295" s="483"/>
      <c r="BV295" s="486"/>
      <c r="BW295" s="487"/>
      <c r="BX295" s="440"/>
      <c r="BY295" s="488"/>
      <c r="BZ295" s="489">
        <f>M295+BM295+BQ295+BU295</f>
        <v>0</v>
      </c>
      <c r="CA295" s="490"/>
      <c r="CB295" s="491"/>
      <c r="CC295" s="246">
        <f t="shared" si="162"/>
        <v>0</v>
      </c>
      <c r="CD295" s="581"/>
      <c r="CE295" s="582"/>
      <c r="CF295" s="492">
        <v>0.57999999999999996</v>
      </c>
      <c r="CG295" s="74"/>
      <c r="CH295" s="74"/>
      <c r="CI295" s="74"/>
      <c r="CJ295" s="74"/>
      <c r="CK295" s="74"/>
      <c r="CL295" s="74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  <c r="CZ295" s="75"/>
      <c r="DA295" s="144"/>
      <c r="DB295" s="144"/>
      <c r="DC295" s="111"/>
      <c r="DD295" s="111"/>
      <c r="DE295" s="111"/>
      <c r="DF295" s="111"/>
      <c r="DG295" s="242"/>
      <c r="DI295" s="826"/>
      <c r="DJ295" s="788"/>
    </row>
    <row r="296" spans="1:114" s="783" customFormat="1" hidden="1">
      <c r="A296" s="208" t="s">
        <v>274</v>
      </c>
      <c r="B296" s="160" t="s">
        <v>343</v>
      </c>
      <c r="C296" s="833" t="s">
        <v>54</v>
      </c>
      <c r="D296" s="117">
        <f>D306</f>
        <v>0</v>
      </c>
      <c r="E296" s="117">
        <f>E306</f>
        <v>0</v>
      </c>
      <c r="F296" s="117">
        <f>F306</f>
        <v>0</v>
      </c>
      <c r="G296" s="117">
        <f>G306</f>
        <v>0</v>
      </c>
      <c r="H296" s="117">
        <f t="shared" ref="H296:O296" si="165">H306+H308+H322+H327</f>
        <v>457.05</v>
      </c>
      <c r="I296" s="117">
        <f t="shared" si="165"/>
        <v>121.49</v>
      </c>
      <c r="J296" s="117">
        <f t="shared" si="165"/>
        <v>31.59</v>
      </c>
      <c r="K296" s="117">
        <f t="shared" si="165"/>
        <v>89.9</v>
      </c>
      <c r="L296" s="117">
        <f t="shared" si="165"/>
        <v>55.645000000000003</v>
      </c>
      <c r="M296" s="118">
        <f t="shared" si="165"/>
        <v>69.072520000000011</v>
      </c>
      <c r="N296" s="118">
        <f t="shared" si="165"/>
        <v>43.96</v>
      </c>
      <c r="O296" s="118">
        <f t="shared" si="165"/>
        <v>57.39</v>
      </c>
      <c r="P296" s="118">
        <v>4.3899999999999997</v>
      </c>
      <c r="Q296" s="118"/>
      <c r="R296" s="118">
        <v>11.68</v>
      </c>
      <c r="S296" s="118">
        <f>S306+S308+S322+S327</f>
        <v>3.04</v>
      </c>
      <c r="T296" s="118">
        <f>T306+T308+T322+T327</f>
        <v>8.6479999999999997</v>
      </c>
      <c r="U296" s="118">
        <f>U306+U308+U322+U327</f>
        <v>8.65</v>
      </c>
      <c r="V296" s="118"/>
      <c r="W296" s="118"/>
      <c r="X296" s="118">
        <f>O296-N296</f>
        <v>13.43</v>
      </c>
      <c r="Y296" s="119">
        <f>O296/N296</f>
        <v>1.3055050045495906</v>
      </c>
      <c r="Z296" s="117">
        <f t="shared" ref="Z296:AG296" si="166">Z306+Z308+Z322+Z327</f>
        <v>55.65</v>
      </c>
      <c r="AA296" s="118">
        <f t="shared" si="166"/>
        <v>57.059999999999995</v>
      </c>
      <c r="AB296" s="118">
        <f t="shared" si="166"/>
        <v>43.96</v>
      </c>
      <c r="AC296" s="118">
        <f t="shared" si="166"/>
        <v>0</v>
      </c>
      <c r="AD296" s="118">
        <f t="shared" si="166"/>
        <v>3.04</v>
      </c>
      <c r="AE296" s="118">
        <f t="shared" si="166"/>
        <v>0</v>
      </c>
      <c r="AF296" s="118">
        <f t="shared" si="166"/>
        <v>8.65</v>
      </c>
      <c r="AG296" s="118">
        <f t="shared" si="166"/>
        <v>0</v>
      </c>
      <c r="AH296" s="118"/>
      <c r="AI296" s="118"/>
      <c r="AJ296" s="118">
        <f>AC296-AB296</f>
        <v>-43.96</v>
      </c>
      <c r="AK296" s="120">
        <f>AC296/AB296</f>
        <v>0</v>
      </c>
      <c r="AL296" s="117">
        <f t="shared" ref="AL296:AS296" si="167">AL306+AL308+AL322+AL327</f>
        <v>55.65</v>
      </c>
      <c r="AM296" s="118">
        <f t="shared" si="167"/>
        <v>57.059999999999995</v>
      </c>
      <c r="AN296" s="118">
        <f t="shared" si="167"/>
        <v>43.96</v>
      </c>
      <c r="AO296" s="118">
        <f t="shared" si="167"/>
        <v>0</v>
      </c>
      <c r="AP296" s="118">
        <f t="shared" si="167"/>
        <v>3.04</v>
      </c>
      <c r="AQ296" s="118">
        <f t="shared" si="167"/>
        <v>0</v>
      </c>
      <c r="AR296" s="118">
        <f t="shared" si="167"/>
        <v>8.65</v>
      </c>
      <c r="AS296" s="118">
        <f t="shared" si="167"/>
        <v>0</v>
      </c>
      <c r="AT296" s="118"/>
      <c r="AU296" s="118"/>
      <c r="AV296" s="118">
        <f>AO296-AN296</f>
        <v>-43.96</v>
      </c>
      <c r="AW296" s="120">
        <f>AO296/AN296</f>
        <v>0</v>
      </c>
      <c r="AX296" s="117">
        <f>AX306</f>
        <v>308.88</v>
      </c>
      <c r="AY296" s="117">
        <v>0</v>
      </c>
      <c r="AZ296" s="288">
        <f>AZ306+AZ308+AZ322+AZ327</f>
        <v>0</v>
      </c>
      <c r="BA296" s="289">
        <f t="shared" ref="BA296:BI296" si="168">SUM(BA297,BA299,BA302,BA306,BA308,BA317,BA322,BA325,BA327)</f>
        <v>-130.85</v>
      </c>
      <c r="BB296" s="289">
        <f t="shared" si="168"/>
        <v>0</v>
      </c>
      <c r="BC296" s="289">
        <f t="shared" si="168"/>
        <v>130.85</v>
      </c>
      <c r="BD296" s="289">
        <f t="shared" si="168"/>
        <v>0</v>
      </c>
      <c r="BE296" s="290">
        <f t="shared" si="168"/>
        <v>0</v>
      </c>
      <c r="BF296" s="288">
        <f t="shared" si="168"/>
        <v>0</v>
      </c>
      <c r="BG296" s="289">
        <f t="shared" si="168"/>
        <v>0</v>
      </c>
      <c r="BH296" s="289">
        <f t="shared" si="168"/>
        <v>0</v>
      </c>
      <c r="BI296" s="290">
        <f t="shared" si="168"/>
        <v>0</v>
      </c>
      <c r="BJ296" s="288">
        <f t="shared" si="164"/>
        <v>-130.85</v>
      </c>
      <c r="BK296" s="413" t="e">
        <f>BA296/AZ296</f>
        <v>#DIV/0!</v>
      </c>
      <c r="BL296" s="618"/>
      <c r="BM296" s="121">
        <f>BM306+BM308+BM322+BM327</f>
        <v>57.061379999999993</v>
      </c>
      <c r="BN296" s="122"/>
      <c r="BO296" s="409"/>
      <c r="BP296" s="448"/>
      <c r="BQ296" s="516"/>
      <c r="BR296" s="517"/>
      <c r="BS296" s="518"/>
      <c r="BT296" s="448"/>
      <c r="BU296" s="516"/>
      <c r="BV296" s="517"/>
      <c r="BW296" s="518"/>
      <c r="BX296" s="411">
        <v>883.07</v>
      </c>
      <c r="BY296" s="449">
        <f>F296</f>
        <v>0</v>
      </c>
      <c r="BZ296" s="209">
        <f>M296+BM296+BQ296+BU296</f>
        <v>126.13390000000001</v>
      </c>
      <c r="CA296" s="516">
        <f>BZ296-BY296</f>
        <v>126.13390000000001</v>
      </c>
      <c r="CB296" s="515" t="e">
        <f>BZ296/BY296</f>
        <v>#DIV/0!</v>
      </c>
      <c r="CC296" s="219">
        <f t="shared" si="162"/>
        <v>126.13390000000001</v>
      </c>
      <c r="CD296" s="415">
        <f>SUM(CD307:CD328)</f>
        <v>936.8499999999998</v>
      </c>
      <c r="CE296" s="122">
        <f>SUM(CE307:CE328)</f>
        <v>0</v>
      </c>
      <c r="CF296" s="519">
        <v>0</v>
      </c>
      <c r="CG296" s="450"/>
      <c r="CH296" s="450"/>
      <c r="CI296" s="450"/>
      <c r="CJ296" s="450"/>
      <c r="CK296" s="450"/>
      <c r="CL296" s="450"/>
      <c r="CM296" s="451"/>
      <c r="CN296" s="451"/>
      <c r="CO296" s="451"/>
      <c r="CP296" s="451"/>
      <c r="CQ296" s="451"/>
      <c r="CR296" s="451"/>
      <c r="CS296" s="451"/>
      <c r="CT296" s="451"/>
      <c r="CU296" s="451"/>
      <c r="CV296" s="451"/>
      <c r="CW296" s="451"/>
      <c r="CX296" s="451"/>
      <c r="CY296" s="451"/>
      <c r="CZ296" s="451"/>
      <c r="DA296" s="117">
        <f>DA306+DA308+DA322+DA327+DA299+DA302+DA317+DA297+DA325</f>
        <v>0</v>
      </c>
      <c r="DB296" s="117">
        <f>DB306+DB308+DB322+DB327+DB299+DB302+DB317+DB297+DB325</f>
        <v>0</v>
      </c>
      <c r="DC296" s="117">
        <f>DC306</f>
        <v>0</v>
      </c>
      <c r="DD296" s="117">
        <f>DD306</f>
        <v>0</v>
      </c>
      <c r="DE296" s="117">
        <f>DE306</f>
        <v>0</v>
      </c>
      <c r="DF296" s="117">
        <f>DF306</f>
        <v>0</v>
      </c>
      <c r="DG296" s="117">
        <f>DG306</f>
        <v>0</v>
      </c>
      <c r="DI296" s="826"/>
      <c r="DJ296" s="788"/>
    </row>
    <row r="297" spans="1:114" s="783" customFormat="1" ht="36" hidden="1">
      <c r="A297" s="291" t="s">
        <v>148</v>
      </c>
      <c r="B297" s="292" t="s">
        <v>135</v>
      </c>
      <c r="C297" s="845" t="s">
        <v>54</v>
      </c>
      <c r="D297" s="168"/>
      <c r="E297" s="168"/>
      <c r="F297" s="168"/>
      <c r="G297" s="168"/>
      <c r="H297" s="169"/>
      <c r="I297" s="169"/>
      <c r="J297" s="169"/>
      <c r="K297" s="169"/>
      <c r="L297" s="169"/>
      <c r="M297" s="294"/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  <c r="X297" s="294"/>
      <c r="Y297" s="280"/>
      <c r="Z297" s="169"/>
      <c r="AA297" s="294"/>
      <c r="AB297" s="294"/>
      <c r="AC297" s="294"/>
      <c r="AD297" s="294"/>
      <c r="AE297" s="294"/>
      <c r="AF297" s="294"/>
      <c r="AG297" s="294"/>
      <c r="AH297" s="294"/>
      <c r="AI297" s="294"/>
      <c r="AJ297" s="294"/>
      <c r="AK297" s="281"/>
      <c r="AL297" s="169"/>
      <c r="AM297" s="294"/>
      <c r="AN297" s="294"/>
      <c r="AO297" s="294"/>
      <c r="AP297" s="294"/>
      <c r="AQ297" s="294"/>
      <c r="AR297" s="294"/>
      <c r="AS297" s="294"/>
      <c r="AT297" s="294"/>
      <c r="AU297" s="294"/>
      <c r="AV297" s="294"/>
      <c r="AW297" s="281"/>
      <c r="AX297" s="173"/>
      <c r="AY297" s="295"/>
      <c r="AZ297" s="296"/>
      <c r="BA297" s="297"/>
      <c r="BB297" s="297"/>
      <c r="BC297" s="297"/>
      <c r="BD297" s="297"/>
      <c r="BE297" s="298"/>
      <c r="BF297" s="296"/>
      <c r="BG297" s="297"/>
      <c r="BH297" s="297"/>
      <c r="BI297" s="298">
        <f>SUM(BI298:BI298)</f>
        <v>0</v>
      </c>
      <c r="BJ297" s="641"/>
      <c r="BK297" s="10"/>
      <c r="BL297" s="642"/>
      <c r="BM297" s="624"/>
      <c r="BN297" s="643"/>
      <c r="BO297" s="644"/>
      <c r="BP297" s="625"/>
      <c r="BQ297" s="626"/>
      <c r="BR297" s="645"/>
      <c r="BS297" s="628"/>
      <c r="BT297" s="625"/>
      <c r="BU297" s="626"/>
      <c r="BV297" s="645"/>
      <c r="BW297" s="628"/>
      <c r="BX297" s="629"/>
      <c r="BY297" s="630"/>
      <c r="BZ297" s="631"/>
      <c r="CA297" s="626"/>
      <c r="CB297" s="633"/>
      <c r="CC297" s="22"/>
      <c r="CD297" s="646"/>
      <c r="CE297" s="643"/>
      <c r="CF297" s="636"/>
      <c r="CG297" s="647"/>
      <c r="CH297" s="647"/>
      <c r="CI297" s="647"/>
      <c r="CJ297" s="647"/>
      <c r="CK297" s="647"/>
      <c r="CL297" s="647"/>
      <c r="CM297" s="648"/>
      <c r="CN297" s="648"/>
      <c r="CO297" s="648"/>
      <c r="CP297" s="648"/>
      <c r="CQ297" s="648"/>
      <c r="CR297" s="648"/>
      <c r="CS297" s="648"/>
      <c r="CT297" s="648"/>
      <c r="CU297" s="648"/>
      <c r="CV297" s="648"/>
      <c r="CW297" s="648"/>
      <c r="CX297" s="648"/>
      <c r="CY297" s="648"/>
      <c r="CZ297" s="648"/>
      <c r="DA297" s="295"/>
      <c r="DB297" s="295"/>
      <c r="DC297" s="168"/>
      <c r="DD297" s="168"/>
      <c r="DE297" s="168"/>
      <c r="DF297" s="168"/>
      <c r="DG297" s="180"/>
      <c r="DI297" s="826"/>
      <c r="DJ297" s="788"/>
    </row>
    <row r="298" spans="1:114" s="783" customFormat="1" hidden="1">
      <c r="A298" s="37"/>
      <c r="B298" s="1" t="s">
        <v>234</v>
      </c>
      <c r="C298" s="837" t="s">
        <v>54</v>
      </c>
      <c r="D298" s="31"/>
      <c r="E298" s="31"/>
      <c r="F298" s="31"/>
      <c r="G298" s="31"/>
      <c r="H298" s="3"/>
      <c r="I298" s="3"/>
      <c r="J298" s="3"/>
      <c r="K298" s="3"/>
      <c r="L298" s="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5"/>
      <c r="Z298" s="3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6"/>
      <c r="AL298" s="3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6"/>
      <c r="AX298" s="31"/>
      <c r="AY298" s="90"/>
      <c r="AZ298" s="86"/>
      <c r="BA298" s="40"/>
      <c r="BB298" s="40"/>
      <c r="BC298" s="40"/>
      <c r="BD298" s="40"/>
      <c r="BE298" s="41"/>
      <c r="BF298" s="86"/>
      <c r="BG298" s="40"/>
      <c r="BH298" s="40"/>
      <c r="BI298" s="41">
        <f>AY298</f>
        <v>0</v>
      </c>
      <c r="BJ298" s="9"/>
      <c r="BK298" s="10"/>
      <c r="BL298" s="11"/>
      <c r="BM298" s="2"/>
      <c r="BN298" s="12"/>
      <c r="BO298" s="13"/>
      <c r="BP298" s="14"/>
      <c r="BQ298" s="15"/>
      <c r="BR298" s="16"/>
      <c r="BS298" s="17"/>
      <c r="BT298" s="14"/>
      <c r="BU298" s="15"/>
      <c r="BV298" s="16"/>
      <c r="BW298" s="17"/>
      <c r="BX298" s="18"/>
      <c r="BY298" s="19"/>
      <c r="BZ298" s="20"/>
      <c r="CA298" s="15"/>
      <c r="CB298" s="21"/>
      <c r="CC298" s="22"/>
      <c r="CD298" s="23"/>
      <c r="CE298" s="12"/>
      <c r="CF298" s="24"/>
      <c r="CG298" s="25"/>
      <c r="CH298" s="25"/>
      <c r="CI298" s="25"/>
      <c r="CJ298" s="25"/>
      <c r="CK298" s="25"/>
      <c r="CL298" s="25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90"/>
      <c r="DB298" s="90"/>
      <c r="DC298" s="31"/>
      <c r="DD298" s="31"/>
      <c r="DE298" s="31"/>
      <c r="DF298" s="31"/>
      <c r="DG298" s="134"/>
      <c r="DI298" s="826"/>
      <c r="DJ298" s="788"/>
    </row>
    <row r="299" spans="1:114" s="783" customFormat="1" hidden="1">
      <c r="A299" s="299" t="s">
        <v>148</v>
      </c>
      <c r="B299" s="300" t="s">
        <v>123</v>
      </c>
      <c r="C299" s="846" t="s">
        <v>54</v>
      </c>
      <c r="D299" s="179"/>
      <c r="E299" s="179"/>
      <c r="F299" s="179"/>
      <c r="G299" s="179"/>
      <c r="H299" s="169"/>
      <c r="I299" s="169"/>
      <c r="J299" s="169"/>
      <c r="K299" s="169"/>
      <c r="L299" s="169"/>
      <c r="M299" s="294"/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  <c r="X299" s="294"/>
      <c r="Y299" s="280"/>
      <c r="Z299" s="169"/>
      <c r="AA299" s="294"/>
      <c r="AB299" s="294"/>
      <c r="AC299" s="294"/>
      <c r="AD299" s="294"/>
      <c r="AE299" s="294"/>
      <c r="AF299" s="294"/>
      <c r="AG299" s="294"/>
      <c r="AH299" s="294"/>
      <c r="AI299" s="294"/>
      <c r="AJ299" s="294"/>
      <c r="AK299" s="281"/>
      <c r="AL299" s="169"/>
      <c r="AM299" s="294"/>
      <c r="AN299" s="294"/>
      <c r="AO299" s="294"/>
      <c r="AP299" s="294"/>
      <c r="AQ299" s="294"/>
      <c r="AR299" s="294"/>
      <c r="AS299" s="294"/>
      <c r="AT299" s="294"/>
      <c r="AU299" s="294"/>
      <c r="AV299" s="294"/>
      <c r="AW299" s="281"/>
      <c r="AX299" s="173"/>
      <c r="AY299" s="302"/>
      <c r="AZ299" s="303"/>
      <c r="BA299" s="304"/>
      <c r="BB299" s="304"/>
      <c r="BC299" s="304"/>
      <c r="BD299" s="304"/>
      <c r="BE299" s="305"/>
      <c r="BF299" s="303"/>
      <c r="BG299" s="304"/>
      <c r="BH299" s="304"/>
      <c r="BI299" s="305">
        <f>SUM(BI300:BI301)</f>
        <v>0</v>
      </c>
      <c r="BJ299" s="641"/>
      <c r="BK299" s="10"/>
      <c r="BL299" s="642"/>
      <c r="BM299" s="624"/>
      <c r="BN299" s="643"/>
      <c r="BO299" s="644"/>
      <c r="BP299" s="625"/>
      <c r="BQ299" s="626"/>
      <c r="BR299" s="645"/>
      <c r="BS299" s="628"/>
      <c r="BT299" s="625"/>
      <c r="BU299" s="626"/>
      <c r="BV299" s="645"/>
      <c r="BW299" s="628"/>
      <c r="BX299" s="629"/>
      <c r="BY299" s="630"/>
      <c r="BZ299" s="631"/>
      <c r="CA299" s="626"/>
      <c r="CB299" s="633"/>
      <c r="CC299" s="22"/>
      <c r="CD299" s="646"/>
      <c r="CE299" s="643"/>
      <c r="CF299" s="636"/>
      <c r="CG299" s="647"/>
      <c r="CH299" s="647"/>
      <c r="CI299" s="647"/>
      <c r="CJ299" s="647"/>
      <c r="CK299" s="647"/>
      <c r="CL299" s="647"/>
      <c r="CM299" s="648"/>
      <c r="CN299" s="648"/>
      <c r="CO299" s="648"/>
      <c r="CP299" s="648"/>
      <c r="CQ299" s="648"/>
      <c r="CR299" s="648"/>
      <c r="CS299" s="648"/>
      <c r="CT299" s="648"/>
      <c r="CU299" s="648"/>
      <c r="CV299" s="648"/>
      <c r="CW299" s="648"/>
      <c r="CX299" s="648"/>
      <c r="CY299" s="648"/>
      <c r="CZ299" s="648"/>
      <c r="DA299" s="302"/>
      <c r="DB299" s="302"/>
      <c r="DC299" s="179"/>
      <c r="DD299" s="179"/>
      <c r="DE299" s="179"/>
      <c r="DF299" s="179"/>
      <c r="DG299" s="180"/>
      <c r="DI299" s="826"/>
      <c r="DJ299" s="788"/>
    </row>
    <row r="300" spans="1:114" s="783" customFormat="1" hidden="1">
      <c r="A300" s="37"/>
      <c r="B300" s="1" t="s">
        <v>125</v>
      </c>
      <c r="C300" s="837" t="s">
        <v>54</v>
      </c>
      <c r="D300" s="31"/>
      <c r="E300" s="31"/>
      <c r="F300" s="31"/>
      <c r="G300" s="31"/>
      <c r="H300" s="3"/>
      <c r="I300" s="3"/>
      <c r="J300" s="3"/>
      <c r="K300" s="3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5"/>
      <c r="Z300" s="3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6"/>
      <c r="AL300" s="3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6"/>
      <c r="AX300" s="31"/>
      <c r="AY300" s="91"/>
      <c r="AZ300" s="87"/>
      <c r="BA300" s="7"/>
      <c r="BB300" s="7"/>
      <c r="BC300" s="7"/>
      <c r="BD300" s="7"/>
      <c r="BE300" s="8"/>
      <c r="BF300" s="87"/>
      <c r="BG300" s="7"/>
      <c r="BH300" s="7"/>
      <c r="BI300" s="8">
        <f>AY300</f>
        <v>0</v>
      </c>
      <c r="BJ300" s="9"/>
      <c r="BK300" s="10"/>
      <c r="BL300" s="11"/>
      <c r="BM300" s="2"/>
      <c r="BN300" s="12"/>
      <c r="BO300" s="13"/>
      <c r="BP300" s="14"/>
      <c r="BQ300" s="15"/>
      <c r="BR300" s="16"/>
      <c r="BS300" s="17"/>
      <c r="BT300" s="14"/>
      <c r="BU300" s="15"/>
      <c r="BV300" s="16"/>
      <c r="BW300" s="17"/>
      <c r="BX300" s="18"/>
      <c r="BY300" s="19"/>
      <c r="BZ300" s="20"/>
      <c r="CA300" s="15"/>
      <c r="CB300" s="21"/>
      <c r="CC300" s="22"/>
      <c r="CD300" s="23"/>
      <c r="CE300" s="12"/>
      <c r="CF300" s="24"/>
      <c r="CG300" s="25"/>
      <c r="CH300" s="25"/>
      <c r="CI300" s="25"/>
      <c r="CJ300" s="25"/>
      <c r="CK300" s="25"/>
      <c r="CL300" s="25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91"/>
      <c r="DB300" s="91"/>
      <c r="DC300" s="31"/>
      <c r="DD300" s="31"/>
      <c r="DE300" s="31"/>
      <c r="DF300" s="31"/>
      <c r="DG300" s="134"/>
      <c r="DI300" s="826"/>
      <c r="DJ300" s="788"/>
    </row>
    <row r="301" spans="1:114" s="783" customFormat="1" hidden="1">
      <c r="A301" s="37"/>
      <c r="B301" s="1" t="s">
        <v>132</v>
      </c>
      <c r="C301" s="837" t="s">
        <v>54</v>
      </c>
      <c r="D301" s="31"/>
      <c r="E301" s="31"/>
      <c r="F301" s="31"/>
      <c r="G301" s="31"/>
      <c r="H301" s="3"/>
      <c r="I301" s="3"/>
      <c r="J301" s="3"/>
      <c r="K301" s="3"/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5"/>
      <c r="Z301" s="3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6"/>
      <c r="AL301" s="3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6"/>
      <c r="AX301" s="31"/>
      <c r="AY301" s="91"/>
      <c r="AZ301" s="87"/>
      <c r="BA301" s="7"/>
      <c r="BB301" s="7"/>
      <c r="BC301" s="7"/>
      <c r="BD301" s="7"/>
      <c r="BE301" s="8"/>
      <c r="BF301" s="87"/>
      <c r="BG301" s="7"/>
      <c r="BH301" s="7"/>
      <c r="BI301" s="8">
        <f>AY301</f>
        <v>0</v>
      </c>
      <c r="BJ301" s="9"/>
      <c r="BK301" s="10"/>
      <c r="BL301" s="11"/>
      <c r="BM301" s="2"/>
      <c r="BN301" s="12"/>
      <c r="BO301" s="13"/>
      <c r="BP301" s="14"/>
      <c r="BQ301" s="15"/>
      <c r="BR301" s="16"/>
      <c r="BS301" s="17"/>
      <c r="BT301" s="14"/>
      <c r="BU301" s="15"/>
      <c r="BV301" s="16"/>
      <c r="BW301" s="17"/>
      <c r="BX301" s="18"/>
      <c r="BY301" s="19"/>
      <c r="BZ301" s="20"/>
      <c r="CA301" s="15"/>
      <c r="CB301" s="21"/>
      <c r="CC301" s="22"/>
      <c r="CD301" s="23"/>
      <c r="CE301" s="12"/>
      <c r="CF301" s="24"/>
      <c r="CG301" s="25"/>
      <c r="CH301" s="25"/>
      <c r="CI301" s="25"/>
      <c r="CJ301" s="25"/>
      <c r="CK301" s="25"/>
      <c r="CL301" s="25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91"/>
      <c r="DB301" s="91"/>
      <c r="DC301" s="31"/>
      <c r="DD301" s="31"/>
      <c r="DE301" s="31"/>
      <c r="DF301" s="31"/>
      <c r="DG301" s="134"/>
      <c r="DI301" s="826"/>
      <c r="DJ301" s="788"/>
    </row>
    <row r="302" spans="1:114" s="783" customFormat="1" hidden="1">
      <c r="A302" s="299" t="s">
        <v>149</v>
      </c>
      <c r="B302" s="300" t="s">
        <v>124</v>
      </c>
      <c r="C302" s="847" t="s">
        <v>54</v>
      </c>
      <c r="D302" s="179"/>
      <c r="E302" s="179"/>
      <c r="F302" s="179"/>
      <c r="G302" s="179"/>
      <c r="H302" s="169"/>
      <c r="I302" s="169"/>
      <c r="J302" s="169"/>
      <c r="K302" s="169"/>
      <c r="L302" s="169"/>
      <c r="M302" s="294"/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  <c r="X302" s="294"/>
      <c r="Y302" s="280"/>
      <c r="Z302" s="169"/>
      <c r="AA302" s="294"/>
      <c r="AB302" s="294"/>
      <c r="AC302" s="294"/>
      <c r="AD302" s="294"/>
      <c r="AE302" s="294"/>
      <c r="AF302" s="294"/>
      <c r="AG302" s="294"/>
      <c r="AH302" s="294"/>
      <c r="AI302" s="294"/>
      <c r="AJ302" s="294"/>
      <c r="AK302" s="281"/>
      <c r="AL302" s="169"/>
      <c r="AM302" s="294"/>
      <c r="AN302" s="294"/>
      <c r="AO302" s="294"/>
      <c r="AP302" s="294"/>
      <c r="AQ302" s="294"/>
      <c r="AR302" s="294"/>
      <c r="AS302" s="294"/>
      <c r="AT302" s="294"/>
      <c r="AU302" s="294"/>
      <c r="AV302" s="294"/>
      <c r="AW302" s="281"/>
      <c r="AX302" s="179"/>
      <c r="AY302" s="302"/>
      <c r="AZ302" s="303"/>
      <c r="BA302" s="304"/>
      <c r="BB302" s="304"/>
      <c r="BC302" s="304"/>
      <c r="BD302" s="304"/>
      <c r="BE302" s="305"/>
      <c r="BF302" s="303"/>
      <c r="BG302" s="304"/>
      <c r="BH302" s="304"/>
      <c r="BI302" s="305">
        <f>SUM(BI305)</f>
        <v>0</v>
      </c>
      <c r="BJ302" s="641"/>
      <c r="BK302" s="10"/>
      <c r="BL302" s="649"/>
      <c r="BM302" s="624"/>
      <c r="BN302" s="643"/>
      <c r="BO302" s="644"/>
      <c r="BP302" s="625"/>
      <c r="BQ302" s="626"/>
      <c r="BR302" s="645"/>
      <c r="BS302" s="628"/>
      <c r="BT302" s="625"/>
      <c r="BU302" s="626"/>
      <c r="BV302" s="645"/>
      <c r="BW302" s="628"/>
      <c r="BX302" s="629"/>
      <c r="BY302" s="630"/>
      <c r="BZ302" s="631"/>
      <c r="CA302" s="626"/>
      <c r="CB302" s="633"/>
      <c r="CC302" s="22"/>
      <c r="CD302" s="646"/>
      <c r="CE302" s="643"/>
      <c r="CF302" s="636"/>
      <c r="CG302" s="647"/>
      <c r="CH302" s="647"/>
      <c r="CI302" s="647"/>
      <c r="CJ302" s="647"/>
      <c r="CK302" s="647"/>
      <c r="CL302" s="647"/>
      <c r="CM302" s="648"/>
      <c r="CN302" s="648"/>
      <c r="CO302" s="648"/>
      <c r="CP302" s="648"/>
      <c r="CQ302" s="648"/>
      <c r="CR302" s="648"/>
      <c r="CS302" s="648"/>
      <c r="CT302" s="648"/>
      <c r="CU302" s="648"/>
      <c r="CV302" s="648"/>
      <c r="CW302" s="648"/>
      <c r="CX302" s="648"/>
      <c r="CY302" s="648"/>
      <c r="CZ302" s="648"/>
      <c r="DA302" s="302"/>
      <c r="DB302" s="302"/>
      <c r="DC302" s="179"/>
      <c r="DD302" s="179"/>
      <c r="DE302" s="179"/>
      <c r="DF302" s="179"/>
      <c r="DG302" s="180"/>
      <c r="DI302" s="826"/>
      <c r="DJ302" s="788"/>
    </row>
    <row r="303" spans="1:114" s="783" customFormat="1" ht="24" hidden="1">
      <c r="A303" s="37"/>
      <c r="B303" s="1" t="s">
        <v>126</v>
      </c>
      <c r="C303" s="837" t="s">
        <v>54</v>
      </c>
      <c r="D303" s="31"/>
      <c r="E303" s="31"/>
      <c r="F303" s="31"/>
      <c r="G303" s="31"/>
      <c r="H303" s="3"/>
      <c r="I303" s="3"/>
      <c r="J303" s="3"/>
      <c r="K303" s="3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5"/>
      <c r="Z303" s="3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6"/>
      <c r="AL303" s="3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6"/>
      <c r="AX303" s="31"/>
      <c r="AY303" s="91"/>
      <c r="AZ303" s="87"/>
      <c r="BA303" s="7"/>
      <c r="BB303" s="7"/>
      <c r="BC303" s="7"/>
      <c r="BD303" s="7"/>
      <c r="BE303" s="8"/>
      <c r="BF303" s="87"/>
      <c r="BG303" s="7"/>
      <c r="BH303" s="7"/>
      <c r="BI303" s="8">
        <f>AY303</f>
        <v>0</v>
      </c>
      <c r="BJ303" s="9"/>
      <c r="BK303" s="10"/>
      <c r="BL303" s="11"/>
      <c r="BM303" s="2"/>
      <c r="BN303" s="12"/>
      <c r="BO303" s="13"/>
      <c r="BP303" s="14"/>
      <c r="BQ303" s="15"/>
      <c r="BR303" s="16"/>
      <c r="BS303" s="17"/>
      <c r="BT303" s="14"/>
      <c r="BU303" s="15"/>
      <c r="BV303" s="16"/>
      <c r="BW303" s="17"/>
      <c r="BX303" s="18"/>
      <c r="BY303" s="19"/>
      <c r="BZ303" s="20"/>
      <c r="CA303" s="15"/>
      <c r="CB303" s="21"/>
      <c r="CC303" s="22"/>
      <c r="CD303" s="23"/>
      <c r="CE303" s="12"/>
      <c r="CF303" s="24"/>
      <c r="CG303" s="25"/>
      <c r="CH303" s="25"/>
      <c r="CI303" s="25"/>
      <c r="CJ303" s="25"/>
      <c r="CK303" s="25"/>
      <c r="CL303" s="25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91"/>
      <c r="DB303" s="91"/>
      <c r="DC303" s="31"/>
      <c r="DD303" s="31"/>
      <c r="DE303" s="31"/>
      <c r="DF303" s="31"/>
      <c r="DG303" s="134"/>
      <c r="DI303" s="826"/>
      <c r="DJ303" s="788"/>
    </row>
    <row r="304" spans="1:114" s="783" customFormat="1" hidden="1">
      <c r="A304" s="38"/>
      <c r="B304" s="32" t="s">
        <v>132</v>
      </c>
      <c r="C304" s="837" t="s">
        <v>54</v>
      </c>
      <c r="D304" s="31"/>
      <c r="E304" s="31"/>
      <c r="F304" s="31"/>
      <c r="G304" s="31"/>
      <c r="H304" s="3"/>
      <c r="I304" s="3"/>
      <c r="J304" s="3"/>
      <c r="K304" s="3"/>
      <c r="L304" s="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5"/>
      <c r="Z304" s="3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6"/>
      <c r="AL304" s="3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6"/>
      <c r="AX304" s="33"/>
      <c r="AY304" s="92"/>
      <c r="AZ304" s="88"/>
      <c r="BA304" s="34"/>
      <c r="BB304" s="34"/>
      <c r="BC304" s="34"/>
      <c r="BD304" s="34"/>
      <c r="BE304" s="35"/>
      <c r="BF304" s="88"/>
      <c r="BG304" s="34"/>
      <c r="BH304" s="34"/>
      <c r="BI304" s="35">
        <f>AY304</f>
        <v>0</v>
      </c>
      <c r="BJ304" s="9"/>
      <c r="BK304" s="10"/>
      <c r="BL304" s="36"/>
      <c r="BM304" s="2"/>
      <c r="BN304" s="12"/>
      <c r="BO304" s="13"/>
      <c r="BP304" s="14"/>
      <c r="BQ304" s="15"/>
      <c r="BR304" s="16"/>
      <c r="BS304" s="17"/>
      <c r="BT304" s="14"/>
      <c r="BU304" s="15"/>
      <c r="BV304" s="16"/>
      <c r="BW304" s="17"/>
      <c r="BX304" s="18"/>
      <c r="BY304" s="19"/>
      <c r="BZ304" s="20"/>
      <c r="CA304" s="15"/>
      <c r="CB304" s="21"/>
      <c r="CC304" s="22"/>
      <c r="CD304" s="23"/>
      <c r="CE304" s="12"/>
      <c r="CF304" s="24"/>
      <c r="CG304" s="25"/>
      <c r="CH304" s="25"/>
      <c r="CI304" s="25"/>
      <c r="CJ304" s="25"/>
      <c r="CK304" s="25"/>
      <c r="CL304" s="25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92"/>
      <c r="DB304" s="92"/>
      <c r="DC304" s="31"/>
      <c r="DD304" s="31"/>
      <c r="DE304" s="31"/>
      <c r="DF304" s="31"/>
      <c r="DG304" s="134"/>
      <c r="DI304" s="826"/>
      <c r="DJ304" s="788"/>
    </row>
    <row r="305" spans="1:114" s="783" customFormat="1" hidden="1">
      <c r="A305" s="38"/>
      <c r="B305" s="32" t="s">
        <v>132</v>
      </c>
      <c r="C305" s="836"/>
      <c r="D305" s="31"/>
      <c r="E305" s="31"/>
      <c r="F305" s="31"/>
      <c r="G305" s="31"/>
      <c r="H305" s="3"/>
      <c r="I305" s="3"/>
      <c r="J305" s="3"/>
      <c r="K305" s="3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5"/>
      <c r="Z305" s="3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6"/>
      <c r="AL305" s="3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6"/>
      <c r="AX305" s="33"/>
      <c r="AY305" s="92"/>
      <c r="AZ305" s="88"/>
      <c r="BA305" s="34"/>
      <c r="BB305" s="34"/>
      <c r="BC305" s="34"/>
      <c r="BD305" s="34"/>
      <c r="BE305" s="35"/>
      <c r="BF305" s="88"/>
      <c r="BG305" s="34"/>
      <c r="BH305" s="34"/>
      <c r="BI305" s="35">
        <f>AY305</f>
        <v>0</v>
      </c>
      <c r="BJ305" s="9"/>
      <c r="BK305" s="10"/>
      <c r="BL305" s="36"/>
      <c r="BM305" s="2"/>
      <c r="BN305" s="12"/>
      <c r="BO305" s="13"/>
      <c r="BP305" s="14"/>
      <c r="BQ305" s="15"/>
      <c r="BR305" s="16"/>
      <c r="BS305" s="17"/>
      <c r="BT305" s="14"/>
      <c r="BU305" s="15"/>
      <c r="BV305" s="16"/>
      <c r="BW305" s="17"/>
      <c r="BX305" s="18"/>
      <c r="BY305" s="19"/>
      <c r="BZ305" s="20"/>
      <c r="CA305" s="15"/>
      <c r="CB305" s="21"/>
      <c r="CC305" s="22"/>
      <c r="CD305" s="23"/>
      <c r="CE305" s="12"/>
      <c r="CF305" s="24"/>
      <c r="CG305" s="25"/>
      <c r="CH305" s="25"/>
      <c r="CI305" s="25"/>
      <c r="CJ305" s="25"/>
      <c r="CK305" s="25"/>
      <c r="CL305" s="25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92"/>
      <c r="DB305" s="92"/>
      <c r="DC305" s="31"/>
      <c r="DD305" s="31"/>
      <c r="DE305" s="31"/>
      <c r="DF305" s="31"/>
      <c r="DG305" s="134"/>
      <c r="DI305" s="826"/>
      <c r="DJ305" s="788"/>
    </row>
    <row r="306" spans="1:114" s="783" customFormat="1" hidden="1">
      <c r="A306" s="165" t="s">
        <v>142</v>
      </c>
      <c r="B306" s="166" t="s">
        <v>100</v>
      </c>
      <c r="C306" s="848" t="s">
        <v>54</v>
      </c>
      <c r="D306" s="310"/>
      <c r="E306" s="310"/>
      <c r="F306" s="310"/>
      <c r="G306" s="310"/>
      <c r="H306" s="311">
        <f>SUM(H307)</f>
        <v>457.05</v>
      </c>
      <c r="I306" s="311">
        <f>SUM(I307)</f>
        <v>121.49</v>
      </c>
      <c r="J306" s="311">
        <f>SUM(J307)</f>
        <v>31.59</v>
      </c>
      <c r="K306" s="311">
        <f>SUM(K307)</f>
        <v>89.9</v>
      </c>
      <c r="L306" s="169">
        <f t="shared" ref="L306:U306" si="169">L307</f>
        <v>55.645000000000003</v>
      </c>
      <c r="M306" s="294">
        <f t="shared" si="169"/>
        <v>55.645710000000001</v>
      </c>
      <c r="N306" s="294">
        <f t="shared" si="169"/>
        <v>43.96</v>
      </c>
      <c r="O306" s="294">
        <f t="shared" si="169"/>
        <v>43.96</v>
      </c>
      <c r="P306" s="294"/>
      <c r="Q306" s="294"/>
      <c r="R306" s="294">
        <f t="shared" si="169"/>
        <v>3.0379999999999998</v>
      </c>
      <c r="S306" s="294">
        <f t="shared" si="169"/>
        <v>3.04</v>
      </c>
      <c r="T306" s="294">
        <f t="shared" si="169"/>
        <v>8.6479999999999997</v>
      </c>
      <c r="U306" s="294">
        <f t="shared" si="169"/>
        <v>8.65</v>
      </c>
      <c r="V306" s="294"/>
      <c r="W306" s="294"/>
      <c r="X306" s="294">
        <f>O306-N306</f>
        <v>0</v>
      </c>
      <c r="Y306" s="280">
        <f>O306/N306</f>
        <v>1</v>
      </c>
      <c r="Z306" s="169">
        <f t="shared" ref="Z306:AG306" si="170">Z307</f>
        <v>55.65</v>
      </c>
      <c r="AA306" s="294">
        <f t="shared" si="170"/>
        <v>49.05</v>
      </c>
      <c r="AB306" s="294">
        <f t="shared" si="170"/>
        <v>43.96</v>
      </c>
      <c r="AC306" s="294">
        <f t="shared" si="170"/>
        <v>0</v>
      </c>
      <c r="AD306" s="294">
        <f t="shared" si="170"/>
        <v>3.04</v>
      </c>
      <c r="AE306" s="294">
        <f t="shared" si="170"/>
        <v>0</v>
      </c>
      <c r="AF306" s="294">
        <f t="shared" si="170"/>
        <v>8.65</v>
      </c>
      <c r="AG306" s="294">
        <f t="shared" si="170"/>
        <v>0</v>
      </c>
      <c r="AH306" s="294"/>
      <c r="AI306" s="294"/>
      <c r="AJ306" s="294">
        <f>AC306-AB306</f>
        <v>-43.96</v>
      </c>
      <c r="AK306" s="281">
        <f>AC306/AB306</f>
        <v>0</v>
      </c>
      <c r="AL306" s="169">
        <f t="shared" ref="AL306:AS306" si="171">AL307</f>
        <v>55.65</v>
      </c>
      <c r="AM306" s="294">
        <f t="shared" si="171"/>
        <v>49.05</v>
      </c>
      <c r="AN306" s="294">
        <f t="shared" si="171"/>
        <v>43.96</v>
      </c>
      <c r="AO306" s="294">
        <f t="shared" si="171"/>
        <v>0</v>
      </c>
      <c r="AP306" s="294">
        <f t="shared" si="171"/>
        <v>3.04</v>
      </c>
      <c r="AQ306" s="294">
        <f t="shared" si="171"/>
        <v>0</v>
      </c>
      <c r="AR306" s="294">
        <f t="shared" si="171"/>
        <v>8.65</v>
      </c>
      <c r="AS306" s="294">
        <f t="shared" si="171"/>
        <v>0</v>
      </c>
      <c r="AT306" s="294"/>
      <c r="AU306" s="294"/>
      <c r="AV306" s="294">
        <f>AO306-AN306</f>
        <v>-43.96</v>
      </c>
      <c r="AW306" s="281">
        <f>AO306/AN306</f>
        <v>0</v>
      </c>
      <c r="AX306" s="167">
        <f>SUM(AX307)</f>
        <v>308.88</v>
      </c>
      <c r="AY306" s="312">
        <f t="shared" ref="AY306:BD306" si="172">AY307</f>
        <v>0</v>
      </c>
      <c r="AZ306" s="313">
        <f t="shared" si="172"/>
        <v>0</v>
      </c>
      <c r="BA306" s="314">
        <f>SUM(BA307)</f>
        <v>-130.85</v>
      </c>
      <c r="BB306" s="314">
        <f t="shared" si="172"/>
        <v>0</v>
      </c>
      <c r="BC306" s="314">
        <f>BC307</f>
        <v>130.85</v>
      </c>
      <c r="BD306" s="314">
        <f t="shared" si="172"/>
        <v>0</v>
      </c>
      <c r="BE306" s="315"/>
      <c r="BF306" s="313"/>
      <c r="BG306" s="314"/>
      <c r="BH306" s="314"/>
      <c r="BI306" s="315"/>
      <c r="BJ306" s="417">
        <f>BA306-AZ306</f>
        <v>-130.85</v>
      </c>
      <c r="BK306" s="418" t="e">
        <f>BA306/AZ306</f>
        <v>#DIV/0!</v>
      </c>
      <c r="BL306" s="623"/>
      <c r="BM306" s="174">
        <f>BM307</f>
        <v>49.047379999999997</v>
      </c>
      <c r="BN306" s="175"/>
      <c r="BO306" s="507"/>
      <c r="BP306" s="456"/>
      <c r="BQ306" s="454"/>
      <c r="BR306" s="457"/>
      <c r="BS306" s="458"/>
      <c r="BT306" s="456"/>
      <c r="BU306" s="454"/>
      <c r="BV306" s="457"/>
      <c r="BW306" s="458"/>
      <c r="BX306" s="459"/>
      <c r="BY306" s="460"/>
      <c r="BZ306" s="461"/>
      <c r="CA306" s="454"/>
      <c r="CB306" s="462"/>
      <c r="CC306" s="309"/>
      <c r="CD306" s="463"/>
      <c r="CE306" s="175"/>
      <c r="CF306" s="464"/>
      <c r="CG306" s="650"/>
      <c r="CH306" s="650"/>
      <c r="CI306" s="650"/>
      <c r="CJ306" s="650"/>
      <c r="CK306" s="650"/>
      <c r="CL306" s="650"/>
      <c r="CM306" s="651"/>
      <c r="CN306" s="651"/>
      <c r="CO306" s="651"/>
      <c r="CP306" s="651"/>
      <c r="CQ306" s="651"/>
      <c r="CR306" s="651"/>
      <c r="CS306" s="651"/>
      <c r="CT306" s="651"/>
      <c r="CU306" s="651"/>
      <c r="CV306" s="651"/>
      <c r="CW306" s="651"/>
      <c r="CX306" s="651"/>
      <c r="CY306" s="651"/>
      <c r="CZ306" s="651"/>
      <c r="DA306" s="312">
        <f>DA307</f>
        <v>0</v>
      </c>
      <c r="DB306" s="312">
        <f>DB307</f>
        <v>0</v>
      </c>
      <c r="DC306" s="310"/>
      <c r="DD306" s="310"/>
      <c r="DE306" s="310"/>
      <c r="DF306" s="310"/>
      <c r="DG306" s="849"/>
      <c r="DI306" s="826"/>
      <c r="DJ306" s="788"/>
    </row>
    <row r="307" spans="1:114" s="783" customFormat="1" hidden="1">
      <c r="A307" s="38"/>
      <c r="B307" s="316" t="s">
        <v>44</v>
      </c>
      <c r="C307" s="850" t="s">
        <v>54</v>
      </c>
      <c r="D307" s="69"/>
      <c r="E307" s="69"/>
      <c r="F307" s="69"/>
      <c r="G307" s="69"/>
      <c r="H307" s="51">
        <v>457.05</v>
      </c>
      <c r="I307" s="51">
        <v>121.49</v>
      </c>
      <c r="J307" s="51">
        <v>31.59</v>
      </c>
      <c r="K307" s="51">
        <v>89.9</v>
      </c>
      <c r="L307" s="53">
        <v>55.645000000000003</v>
      </c>
      <c r="M307" s="53">
        <v>55.645710000000001</v>
      </c>
      <c r="N307" s="53">
        <v>43.96</v>
      </c>
      <c r="O307" s="53">
        <v>43.96</v>
      </c>
      <c r="P307" s="53"/>
      <c r="Q307" s="53"/>
      <c r="R307" s="53">
        <v>3.0379999999999998</v>
      </c>
      <c r="S307" s="53">
        <v>3.04</v>
      </c>
      <c r="T307" s="53">
        <v>8.6479999999999997</v>
      </c>
      <c r="U307" s="53">
        <v>8.65</v>
      </c>
      <c r="V307" s="53"/>
      <c r="W307" s="53"/>
      <c r="X307" s="51">
        <f>O307-N307</f>
        <v>0</v>
      </c>
      <c r="Y307" s="55">
        <f>O307/N307</f>
        <v>1</v>
      </c>
      <c r="Z307" s="53">
        <v>55.65</v>
      </c>
      <c r="AA307" s="53">
        <v>49.05</v>
      </c>
      <c r="AB307" s="53">
        <v>43.96</v>
      </c>
      <c r="AC307" s="53"/>
      <c r="AD307" s="53">
        <v>3.04</v>
      </c>
      <c r="AE307" s="53"/>
      <c r="AF307" s="53">
        <v>8.65</v>
      </c>
      <c r="AG307" s="53"/>
      <c r="AH307" s="53"/>
      <c r="AI307" s="53"/>
      <c r="AJ307" s="51"/>
      <c r="AK307" s="56"/>
      <c r="AL307" s="53">
        <v>55.65</v>
      </c>
      <c r="AM307" s="53">
        <v>49.05</v>
      </c>
      <c r="AN307" s="53">
        <v>43.96</v>
      </c>
      <c r="AO307" s="53"/>
      <c r="AP307" s="53">
        <v>3.04</v>
      </c>
      <c r="AQ307" s="53"/>
      <c r="AR307" s="53">
        <v>8.65</v>
      </c>
      <c r="AS307" s="53"/>
      <c r="AT307" s="53"/>
      <c r="AU307" s="53"/>
      <c r="AV307" s="51"/>
      <c r="AW307" s="56"/>
      <c r="AX307" s="31">
        <v>308.88</v>
      </c>
      <c r="AY307" s="77"/>
      <c r="AZ307" s="89"/>
      <c r="BA307" s="50">
        <f>AY307-BC307</f>
        <v>-130.85</v>
      </c>
      <c r="BB307" s="50"/>
      <c r="BC307" s="50">
        <v>130.85</v>
      </c>
      <c r="BD307" s="50"/>
      <c r="BE307" s="39"/>
      <c r="BF307" s="89"/>
      <c r="BG307" s="50"/>
      <c r="BH307" s="50"/>
      <c r="BI307" s="39"/>
      <c r="BJ307" s="426">
        <f>BA307-AZ307</f>
        <v>-130.85</v>
      </c>
      <c r="BK307" s="46"/>
      <c r="BL307" s="652"/>
      <c r="BM307" s="568">
        <v>49.047379999999997</v>
      </c>
      <c r="BN307" s="103"/>
      <c r="BO307" s="420"/>
      <c r="BP307" s="567"/>
      <c r="BQ307" s="568"/>
      <c r="BR307" s="569"/>
      <c r="BS307" s="570"/>
      <c r="BT307" s="567"/>
      <c r="BU307" s="568"/>
      <c r="BV307" s="569"/>
      <c r="BW307" s="570"/>
      <c r="BX307" s="653"/>
      <c r="BY307" s="571"/>
      <c r="BZ307" s="572">
        <f>M307+BM307+BQ307+BU307</f>
        <v>104.69309</v>
      </c>
      <c r="CA307" s="573"/>
      <c r="CB307" s="574"/>
      <c r="CC307" s="93">
        <f>BZ307-E307</f>
        <v>104.69309</v>
      </c>
      <c r="CD307" s="347">
        <v>730.28</v>
      </c>
      <c r="CE307" s="353"/>
      <c r="CF307" s="575"/>
      <c r="CG307" s="74"/>
      <c r="CH307" s="74"/>
      <c r="CI307" s="74"/>
      <c r="CJ307" s="74"/>
      <c r="CK307" s="74"/>
      <c r="CL307" s="74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7"/>
      <c r="DB307" s="77"/>
      <c r="DC307" s="69"/>
      <c r="DD307" s="69"/>
      <c r="DE307" s="69"/>
      <c r="DF307" s="69"/>
      <c r="DG307" s="51"/>
      <c r="DI307" s="826"/>
      <c r="DJ307" s="788"/>
    </row>
    <row r="308" spans="1:114" s="783" customFormat="1" hidden="1">
      <c r="A308" s="165" t="s">
        <v>150</v>
      </c>
      <c r="B308" s="318" t="s">
        <v>101</v>
      </c>
      <c r="C308" s="851" t="s">
        <v>54</v>
      </c>
      <c r="D308" s="320"/>
      <c r="E308" s="320"/>
      <c r="F308" s="320"/>
      <c r="G308" s="320"/>
      <c r="H308" s="181"/>
      <c r="I308" s="181"/>
      <c r="J308" s="181"/>
      <c r="K308" s="181"/>
      <c r="L308" s="321"/>
      <c r="M308" s="322">
        <f>SUM(M309:M316)</f>
        <v>8</v>
      </c>
      <c r="N308" s="322"/>
      <c r="O308" s="322">
        <f>O309+O316</f>
        <v>8</v>
      </c>
      <c r="P308" s="322"/>
      <c r="Q308" s="322"/>
      <c r="R308" s="322"/>
      <c r="S308" s="322"/>
      <c r="T308" s="322"/>
      <c r="U308" s="322"/>
      <c r="V308" s="322"/>
      <c r="W308" s="322"/>
      <c r="X308" s="216"/>
      <c r="Y308" s="191"/>
      <c r="Z308" s="321"/>
      <c r="AA308" s="322">
        <f>SUM(AA309:AA316)</f>
        <v>4.4000000000000004</v>
      </c>
      <c r="AB308" s="322"/>
      <c r="AC308" s="322">
        <f>AC309+AC316</f>
        <v>0</v>
      </c>
      <c r="AD308" s="322"/>
      <c r="AE308" s="322"/>
      <c r="AF308" s="322"/>
      <c r="AG308" s="322"/>
      <c r="AH308" s="322"/>
      <c r="AI308" s="322"/>
      <c r="AJ308" s="216"/>
      <c r="AK308" s="192"/>
      <c r="AL308" s="321"/>
      <c r="AM308" s="322">
        <f>SUM(AM309:AM316)</f>
        <v>4.4000000000000004</v>
      </c>
      <c r="AN308" s="322"/>
      <c r="AO308" s="322">
        <f>AO309+AO316</f>
        <v>0</v>
      </c>
      <c r="AP308" s="322"/>
      <c r="AQ308" s="322"/>
      <c r="AR308" s="322"/>
      <c r="AS308" s="322"/>
      <c r="AT308" s="322"/>
      <c r="AU308" s="322"/>
      <c r="AV308" s="216"/>
      <c r="AW308" s="192"/>
      <c r="AX308" s="108"/>
      <c r="AY308" s="323"/>
      <c r="AZ308" s="324"/>
      <c r="BA308" s="325"/>
      <c r="BB308" s="325"/>
      <c r="BC308" s="325"/>
      <c r="BD308" s="325"/>
      <c r="BE308" s="326"/>
      <c r="BF308" s="324"/>
      <c r="BG308" s="325"/>
      <c r="BH308" s="325"/>
      <c r="BI308" s="326">
        <f>SUM(BI309:BI316)</f>
        <v>0</v>
      </c>
      <c r="BJ308" s="426">
        <f>BA308-AZ308</f>
        <v>0</v>
      </c>
      <c r="BK308" s="46"/>
      <c r="BL308" s="506"/>
      <c r="BM308" s="454">
        <f>SUM(BM309:BM316)</f>
        <v>4.4000000000000004</v>
      </c>
      <c r="BN308" s="175"/>
      <c r="BO308" s="507"/>
      <c r="BP308" s="456"/>
      <c r="BQ308" s="454"/>
      <c r="BR308" s="508"/>
      <c r="BS308" s="458"/>
      <c r="BT308" s="456"/>
      <c r="BU308" s="454"/>
      <c r="BV308" s="508"/>
      <c r="BW308" s="458"/>
      <c r="BX308" s="509"/>
      <c r="BY308" s="460"/>
      <c r="BZ308" s="461"/>
      <c r="CA308" s="510"/>
      <c r="CB308" s="462"/>
      <c r="CC308" s="309"/>
      <c r="CD308" s="511"/>
      <c r="CE308" s="512"/>
      <c r="CF308" s="464"/>
      <c r="CG308" s="465"/>
      <c r="CH308" s="465"/>
      <c r="CI308" s="465"/>
      <c r="CJ308" s="465"/>
      <c r="CK308" s="465"/>
      <c r="CL308" s="465"/>
      <c r="CM308" s="466"/>
      <c r="CN308" s="466"/>
      <c r="CO308" s="466"/>
      <c r="CP308" s="466"/>
      <c r="CQ308" s="466"/>
      <c r="CR308" s="466"/>
      <c r="CS308" s="466"/>
      <c r="CT308" s="466"/>
      <c r="CU308" s="466"/>
      <c r="CV308" s="466"/>
      <c r="CW308" s="466"/>
      <c r="CX308" s="466"/>
      <c r="CY308" s="466"/>
      <c r="CZ308" s="466"/>
      <c r="DA308" s="323"/>
      <c r="DB308" s="323"/>
      <c r="DC308" s="320"/>
      <c r="DD308" s="320"/>
      <c r="DE308" s="320"/>
      <c r="DF308" s="320"/>
      <c r="DG308" s="181"/>
      <c r="DI308" s="826"/>
      <c r="DJ308" s="788"/>
    </row>
    <row r="309" spans="1:114" s="783" customFormat="1" hidden="1">
      <c r="A309" s="177"/>
      <c r="B309" s="48" t="s">
        <v>112</v>
      </c>
      <c r="C309" s="837" t="s">
        <v>54</v>
      </c>
      <c r="D309" s="69"/>
      <c r="E309" s="69"/>
      <c r="F309" s="69"/>
      <c r="G309" s="69"/>
      <c r="H309" s="51"/>
      <c r="I309" s="51"/>
      <c r="J309" s="51"/>
      <c r="K309" s="51"/>
      <c r="L309" s="52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4"/>
      <c r="Y309" s="55"/>
      <c r="Z309" s="52"/>
      <c r="AA309" s="53">
        <v>4.4000000000000004</v>
      </c>
      <c r="AB309" s="53"/>
      <c r="AC309" s="53"/>
      <c r="AD309" s="53"/>
      <c r="AE309" s="53"/>
      <c r="AF309" s="53"/>
      <c r="AG309" s="53"/>
      <c r="AH309" s="53"/>
      <c r="AI309" s="53"/>
      <c r="AJ309" s="54"/>
      <c r="AK309" s="56"/>
      <c r="AL309" s="52"/>
      <c r="AM309" s="53">
        <v>4.4000000000000004</v>
      </c>
      <c r="AN309" s="53"/>
      <c r="AO309" s="53"/>
      <c r="AP309" s="53"/>
      <c r="AQ309" s="53"/>
      <c r="AR309" s="53"/>
      <c r="AS309" s="53"/>
      <c r="AT309" s="53"/>
      <c r="AU309" s="53"/>
      <c r="AV309" s="54"/>
      <c r="AW309" s="56"/>
      <c r="AX309" s="108"/>
      <c r="AY309" s="77"/>
      <c r="AZ309" s="89"/>
      <c r="BA309" s="50"/>
      <c r="BB309" s="50"/>
      <c r="BC309" s="50"/>
      <c r="BD309" s="50"/>
      <c r="BE309" s="39"/>
      <c r="BF309" s="89"/>
      <c r="BG309" s="50"/>
      <c r="BH309" s="50"/>
      <c r="BI309" s="39"/>
      <c r="BJ309" s="426">
        <f>BA309-AZ309</f>
        <v>0</v>
      </c>
      <c r="BK309" s="46"/>
      <c r="BL309" s="60"/>
      <c r="BM309" s="61">
        <v>4.4000000000000004</v>
      </c>
      <c r="BN309" s="62"/>
      <c r="BO309" s="470"/>
      <c r="BP309" s="64"/>
      <c r="BQ309" s="61"/>
      <c r="BR309" s="65"/>
      <c r="BS309" s="66"/>
      <c r="BT309" s="64"/>
      <c r="BU309" s="61"/>
      <c r="BV309" s="65"/>
      <c r="BW309" s="66"/>
      <c r="BX309" s="67"/>
      <c r="BY309" s="68"/>
      <c r="BZ309" s="69">
        <f>M309+BM309+BQ309+BU309</f>
        <v>4.4000000000000004</v>
      </c>
      <c r="CA309" s="70"/>
      <c r="CB309" s="71"/>
      <c r="CC309" s="72">
        <f>BZ309-E309</f>
        <v>4.4000000000000004</v>
      </c>
      <c r="CD309" s="58">
        <v>10.8</v>
      </c>
      <c r="CE309" s="50"/>
      <c r="CF309" s="73"/>
      <c r="CG309" s="74"/>
      <c r="CH309" s="74"/>
      <c r="CI309" s="74"/>
      <c r="CJ309" s="74"/>
      <c r="CK309" s="74"/>
      <c r="CL309" s="74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7"/>
      <c r="DB309" s="77"/>
      <c r="DC309" s="69"/>
      <c r="DD309" s="69"/>
      <c r="DE309" s="69"/>
      <c r="DF309" s="69"/>
      <c r="DG309" s="51"/>
      <c r="DI309" s="826"/>
      <c r="DJ309" s="788"/>
    </row>
    <row r="310" spans="1:114" s="783" customFormat="1" hidden="1">
      <c r="A310" s="177"/>
      <c r="B310" s="48" t="s">
        <v>113</v>
      </c>
      <c r="C310" s="837" t="s">
        <v>54</v>
      </c>
      <c r="D310" s="69"/>
      <c r="E310" s="69"/>
      <c r="F310" s="69"/>
      <c r="G310" s="69"/>
      <c r="H310" s="51"/>
      <c r="I310" s="51"/>
      <c r="J310" s="51"/>
      <c r="K310" s="51"/>
      <c r="L310" s="52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4"/>
      <c r="Y310" s="55"/>
      <c r="Z310" s="52"/>
      <c r="AA310" s="53"/>
      <c r="AB310" s="53"/>
      <c r="AC310" s="53"/>
      <c r="AD310" s="53"/>
      <c r="AE310" s="53"/>
      <c r="AF310" s="53"/>
      <c r="AG310" s="53"/>
      <c r="AH310" s="53"/>
      <c r="AI310" s="53"/>
      <c r="AJ310" s="54"/>
      <c r="AK310" s="56"/>
      <c r="AL310" s="52"/>
      <c r="AM310" s="53"/>
      <c r="AN310" s="53"/>
      <c r="AO310" s="53"/>
      <c r="AP310" s="53"/>
      <c r="AQ310" s="53"/>
      <c r="AR310" s="53"/>
      <c r="AS310" s="53"/>
      <c r="AT310" s="53"/>
      <c r="AU310" s="53"/>
      <c r="AV310" s="54"/>
      <c r="AW310" s="56"/>
      <c r="AX310" s="108"/>
      <c r="AY310" s="77"/>
      <c r="AZ310" s="89"/>
      <c r="BA310" s="50"/>
      <c r="BB310" s="50"/>
      <c r="BC310" s="50"/>
      <c r="BD310" s="50"/>
      <c r="BE310" s="39"/>
      <c r="BF310" s="89"/>
      <c r="BG310" s="50"/>
      <c r="BH310" s="50"/>
      <c r="BI310" s="39"/>
      <c r="BJ310" s="426"/>
      <c r="BK310" s="46"/>
      <c r="BL310" s="60"/>
      <c r="BM310" s="61"/>
      <c r="BN310" s="62"/>
      <c r="BO310" s="470"/>
      <c r="BP310" s="64"/>
      <c r="BQ310" s="61"/>
      <c r="BR310" s="65"/>
      <c r="BS310" s="66"/>
      <c r="BT310" s="64"/>
      <c r="BU310" s="61"/>
      <c r="BV310" s="65"/>
      <c r="BW310" s="66"/>
      <c r="BX310" s="67"/>
      <c r="BY310" s="68"/>
      <c r="BZ310" s="69"/>
      <c r="CA310" s="70"/>
      <c r="CB310" s="71"/>
      <c r="CC310" s="72"/>
      <c r="CD310" s="58"/>
      <c r="CE310" s="50"/>
      <c r="CF310" s="73"/>
      <c r="CG310" s="74"/>
      <c r="CH310" s="74"/>
      <c r="CI310" s="74"/>
      <c r="CJ310" s="74"/>
      <c r="CK310" s="74"/>
      <c r="CL310" s="74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7"/>
      <c r="DB310" s="77"/>
      <c r="DC310" s="69"/>
      <c r="DD310" s="69"/>
      <c r="DE310" s="69"/>
      <c r="DF310" s="69"/>
      <c r="DG310" s="51"/>
      <c r="DI310" s="826"/>
      <c r="DJ310" s="788"/>
    </row>
    <row r="311" spans="1:114" s="783" customFormat="1" ht="24" hidden="1">
      <c r="A311" s="177"/>
      <c r="B311" s="48" t="s">
        <v>202</v>
      </c>
      <c r="C311" s="837"/>
      <c r="D311" s="69"/>
      <c r="E311" s="69"/>
      <c r="F311" s="69"/>
      <c r="G311" s="69"/>
      <c r="H311" s="51"/>
      <c r="I311" s="51"/>
      <c r="J311" s="51"/>
      <c r="K311" s="51"/>
      <c r="L311" s="52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4"/>
      <c r="Y311" s="55"/>
      <c r="Z311" s="52"/>
      <c r="AA311" s="53"/>
      <c r="AB311" s="53"/>
      <c r="AC311" s="53"/>
      <c r="AD311" s="53"/>
      <c r="AE311" s="53"/>
      <c r="AF311" s="53"/>
      <c r="AG311" s="53"/>
      <c r="AH311" s="53"/>
      <c r="AI311" s="53"/>
      <c r="AJ311" s="54"/>
      <c r="AK311" s="56"/>
      <c r="AL311" s="52"/>
      <c r="AM311" s="53"/>
      <c r="AN311" s="53"/>
      <c r="AO311" s="53"/>
      <c r="AP311" s="53"/>
      <c r="AQ311" s="53"/>
      <c r="AR311" s="53"/>
      <c r="AS311" s="53"/>
      <c r="AT311" s="53"/>
      <c r="AU311" s="53"/>
      <c r="AV311" s="54"/>
      <c r="AW311" s="56"/>
      <c r="AX311" s="108"/>
      <c r="AY311" s="77"/>
      <c r="AZ311" s="89"/>
      <c r="BA311" s="50"/>
      <c r="BB311" s="50"/>
      <c r="BC311" s="50"/>
      <c r="BD311" s="50"/>
      <c r="BE311" s="39"/>
      <c r="BF311" s="89"/>
      <c r="BG311" s="50"/>
      <c r="BH311" s="50"/>
      <c r="BI311" s="39">
        <f>AY311</f>
        <v>0</v>
      </c>
      <c r="BJ311" s="426"/>
      <c r="BK311" s="46"/>
      <c r="BL311" s="60"/>
      <c r="BM311" s="61"/>
      <c r="BN311" s="62"/>
      <c r="BO311" s="470"/>
      <c r="BP311" s="64"/>
      <c r="BQ311" s="61"/>
      <c r="BR311" s="65"/>
      <c r="BS311" s="66"/>
      <c r="BT311" s="64"/>
      <c r="BU311" s="61"/>
      <c r="BV311" s="65"/>
      <c r="BW311" s="66"/>
      <c r="BX311" s="67"/>
      <c r="BY311" s="68"/>
      <c r="BZ311" s="69"/>
      <c r="CA311" s="70"/>
      <c r="CB311" s="71"/>
      <c r="CC311" s="72"/>
      <c r="CD311" s="58"/>
      <c r="CE311" s="50"/>
      <c r="CF311" s="73"/>
      <c r="CG311" s="74"/>
      <c r="CH311" s="74"/>
      <c r="CI311" s="74"/>
      <c r="CJ311" s="74"/>
      <c r="CK311" s="74"/>
      <c r="CL311" s="74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7"/>
      <c r="DB311" s="77"/>
      <c r="DC311" s="69"/>
      <c r="DD311" s="69"/>
      <c r="DE311" s="69"/>
      <c r="DF311" s="69"/>
      <c r="DG311" s="51"/>
      <c r="DI311" s="826"/>
      <c r="DJ311" s="788"/>
    </row>
    <row r="312" spans="1:114" s="783" customFormat="1" hidden="1">
      <c r="A312" s="177"/>
      <c r="B312" s="48" t="s">
        <v>235</v>
      </c>
      <c r="C312" s="837" t="s">
        <v>54</v>
      </c>
      <c r="D312" s="69"/>
      <c r="E312" s="69"/>
      <c r="F312" s="69"/>
      <c r="G312" s="69"/>
      <c r="H312" s="51"/>
      <c r="I312" s="51"/>
      <c r="J312" s="51"/>
      <c r="K312" s="51"/>
      <c r="L312" s="52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4"/>
      <c r="Y312" s="55"/>
      <c r="Z312" s="52"/>
      <c r="AA312" s="53"/>
      <c r="AB312" s="53"/>
      <c r="AC312" s="53"/>
      <c r="AD312" s="53"/>
      <c r="AE312" s="53"/>
      <c r="AF312" s="53"/>
      <c r="AG312" s="53"/>
      <c r="AH312" s="53"/>
      <c r="AI312" s="53"/>
      <c r="AJ312" s="54"/>
      <c r="AK312" s="56"/>
      <c r="AL312" s="52"/>
      <c r="AM312" s="53"/>
      <c r="AN312" s="53"/>
      <c r="AO312" s="53"/>
      <c r="AP312" s="53"/>
      <c r="AQ312" s="53"/>
      <c r="AR312" s="53"/>
      <c r="AS312" s="53"/>
      <c r="AT312" s="53"/>
      <c r="AU312" s="53"/>
      <c r="AV312" s="54"/>
      <c r="AW312" s="56"/>
      <c r="AX312" s="108"/>
      <c r="AY312" s="77"/>
      <c r="AZ312" s="89"/>
      <c r="BA312" s="50"/>
      <c r="BB312" s="50"/>
      <c r="BC312" s="50"/>
      <c r="BD312" s="50"/>
      <c r="BE312" s="39"/>
      <c r="BF312" s="89"/>
      <c r="BG312" s="50"/>
      <c r="BH312" s="50"/>
      <c r="BI312" s="39">
        <f>AY312</f>
        <v>0</v>
      </c>
      <c r="BJ312" s="426"/>
      <c r="BK312" s="46"/>
      <c r="BL312" s="60"/>
      <c r="BM312" s="61"/>
      <c r="BN312" s="62"/>
      <c r="BO312" s="470"/>
      <c r="BP312" s="64"/>
      <c r="BQ312" s="61"/>
      <c r="BR312" s="65"/>
      <c r="BS312" s="66"/>
      <c r="BT312" s="64"/>
      <c r="BU312" s="61"/>
      <c r="BV312" s="65"/>
      <c r="BW312" s="66"/>
      <c r="BX312" s="67"/>
      <c r="BY312" s="68"/>
      <c r="BZ312" s="69"/>
      <c r="CA312" s="70"/>
      <c r="CB312" s="71"/>
      <c r="CC312" s="72"/>
      <c r="CD312" s="58"/>
      <c r="CE312" s="50"/>
      <c r="CF312" s="73"/>
      <c r="CG312" s="74"/>
      <c r="CH312" s="74"/>
      <c r="CI312" s="74"/>
      <c r="CJ312" s="74"/>
      <c r="CK312" s="74"/>
      <c r="CL312" s="74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7"/>
      <c r="DB312" s="77"/>
      <c r="DC312" s="69"/>
      <c r="DD312" s="69"/>
      <c r="DE312" s="69"/>
      <c r="DF312" s="69"/>
      <c r="DG312" s="51"/>
      <c r="DI312" s="826"/>
      <c r="DJ312" s="788"/>
    </row>
    <row r="313" spans="1:114" s="783" customFormat="1" hidden="1">
      <c r="A313" s="177"/>
      <c r="B313" s="48" t="s">
        <v>55</v>
      </c>
      <c r="C313" s="837" t="s">
        <v>54</v>
      </c>
      <c r="D313" s="69"/>
      <c r="E313" s="69"/>
      <c r="F313" s="69"/>
      <c r="G313" s="69"/>
      <c r="H313" s="51"/>
      <c r="I313" s="51"/>
      <c r="J313" s="51"/>
      <c r="K313" s="51"/>
      <c r="L313" s="52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4"/>
      <c r="Y313" s="55"/>
      <c r="Z313" s="52"/>
      <c r="AA313" s="53"/>
      <c r="AB313" s="53"/>
      <c r="AC313" s="53"/>
      <c r="AD313" s="53"/>
      <c r="AE313" s="53"/>
      <c r="AF313" s="53"/>
      <c r="AG313" s="53"/>
      <c r="AH313" s="53"/>
      <c r="AI313" s="53"/>
      <c r="AJ313" s="54"/>
      <c r="AK313" s="56"/>
      <c r="AL313" s="52"/>
      <c r="AM313" s="53"/>
      <c r="AN313" s="53"/>
      <c r="AO313" s="53"/>
      <c r="AP313" s="53"/>
      <c r="AQ313" s="53"/>
      <c r="AR313" s="53"/>
      <c r="AS313" s="53"/>
      <c r="AT313" s="53"/>
      <c r="AU313" s="53"/>
      <c r="AV313" s="54"/>
      <c r="AW313" s="56"/>
      <c r="AX313" s="108"/>
      <c r="AY313" s="77"/>
      <c r="AZ313" s="89"/>
      <c r="BA313" s="50"/>
      <c r="BB313" s="50"/>
      <c r="BC313" s="50"/>
      <c r="BD313" s="50"/>
      <c r="BE313" s="39"/>
      <c r="BF313" s="89"/>
      <c r="BG313" s="50"/>
      <c r="BH313" s="50"/>
      <c r="BI313" s="39"/>
      <c r="BJ313" s="426"/>
      <c r="BK313" s="46"/>
      <c r="BL313" s="60"/>
      <c r="BM313" s="61"/>
      <c r="BN313" s="62"/>
      <c r="BO313" s="470"/>
      <c r="BP313" s="64"/>
      <c r="BQ313" s="61"/>
      <c r="BR313" s="65"/>
      <c r="BS313" s="66"/>
      <c r="BT313" s="64"/>
      <c r="BU313" s="61"/>
      <c r="BV313" s="65"/>
      <c r="BW313" s="66"/>
      <c r="BX313" s="67"/>
      <c r="BY313" s="68"/>
      <c r="BZ313" s="69"/>
      <c r="CA313" s="70"/>
      <c r="CB313" s="71"/>
      <c r="CC313" s="72"/>
      <c r="CD313" s="58"/>
      <c r="CE313" s="50"/>
      <c r="CF313" s="73"/>
      <c r="CG313" s="74"/>
      <c r="CH313" s="74"/>
      <c r="CI313" s="74"/>
      <c r="CJ313" s="74"/>
      <c r="CK313" s="74"/>
      <c r="CL313" s="74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7"/>
      <c r="DB313" s="77"/>
      <c r="DC313" s="69"/>
      <c r="DD313" s="69"/>
      <c r="DE313" s="69"/>
      <c r="DF313" s="69"/>
      <c r="DG313" s="51"/>
      <c r="DI313" s="826"/>
      <c r="DJ313" s="788"/>
    </row>
    <row r="314" spans="1:114" s="783" customFormat="1" hidden="1">
      <c r="A314" s="177"/>
      <c r="B314" s="48" t="s">
        <v>114</v>
      </c>
      <c r="C314" s="837" t="s">
        <v>54</v>
      </c>
      <c r="D314" s="69"/>
      <c r="E314" s="69"/>
      <c r="F314" s="69"/>
      <c r="G314" s="69"/>
      <c r="H314" s="51"/>
      <c r="I314" s="51"/>
      <c r="J314" s="51"/>
      <c r="K314" s="51"/>
      <c r="L314" s="52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4"/>
      <c r="Y314" s="55"/>
      <c r="Z314" s="52"/>
      <c r="AA314" s="53"/>
      <c r="AB314" s="53"/>
      <c r="AC314" s="53"/>
      <c r="AD314" s="53"/>
      <c r="AE314" s="53"/>
      <c r="AF314" s="53"/>
      <c r="AG314" s="53"/>
      <c r="AH314" s="53"/>
      <c r="AI314" s="53"/>
      <c r="AJ314" s="54"/>
      <c r="AK314" s="56"/>
      <c r="AL314" s="52"/>
      <c r="AM314" s="53"/>
      <c r="AN314" s="53"/>
      <c r="AO314" s="53"/>
      <c r="AP314" s="53"/>
      <c r="AQ314" s="53"/>
      <c r="AR314" s="53"/>
      <c r="AS314" s="53"/>
      <c r="AT314" s="53"/>
      <c r="AU314" s="53"/>
      <c r="AV314" s="54"/>
      <c r="AW314" s="56"/>
      <c r="AX314" s="108"/>
      <c r="AY314" s="77"/>
      <c r="AZ314" s="89"/>
      <c r="BA314" s="50"/>
      <c r="BB314" s="50"/>
      <c r="BC314" s="50"/>
      <c r="BD314" s="50"/>
      <c r="BE314" s="39"/>
      <c r="BF314" s="89"/>
      <c r="BG314" s="50"/>
      <c r="BH314" s="50"/>
      <c r="BI314" s="39">
        <f>AY314</f>
        <v>0</v>
      </c>
      <c r="BJ314" s="426"/>
      <c r="BK314" s="46"/>
      <c r="BL314" s="60"/>
      <c r="BM314" s="61"/>
      <c r="BN314" s="62"/>
      <c r="BO314" s="470"/>
      <c r="BP314" s="64"/>
      <c r="BQ314" s="61"/>
      <c r="BR314" s="65"/>
      <c r="BS314" s="66"/>
      <c r="BT314" s="64"/>
      <c r="BU314" s="61"/>
      <c r="BV314" s="65"/>
      <c r="BW314" s="66"/>
      <c r="BX314" s="67"/>
      <c r="BY314" s="68"/>
      <c r="BZ314" s="69"/>
      <c r="CA314" s="70"/>
      <c r="CB314" s="71"/>
      <c r="CC314" s="72"/>
      <c r="CD314" s="58"/>
      <c r="CE314" s="50"/>
      <c r="CF314" s="73"/>
      <c r="CG314" s="74"/>
      <c r="CH314" s="74"/>
      <c r="CI314" s="74"/>
      <c r="CJ314" s="74"/>
      <c r="CK314" s="74"/>
      <c r="CL314" s="74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7"/>
      <c r="DB314" s="77"/>
      <c r="DC314" s="69"/>
      <c r="DD314" s="69"/>
      <c r="DE314" s="69"/>
      <c r="DF314" s="69"/>
      <c r="DG314" s="51"/>
      <c r="DI314" s="826"/>
      <c r="DJ314" s="788"/>
    </row>
    <row r="315" spans="1:114" s="783" customFormat="1" hidden="1">
      <c r="A315" s="177"/>
      <c r="B315" s="48" t="s">
        <v>133</v>
      </c>
      <c r="C315" s="837" t="s">
        <v>54</v>
      </c>
      <c r="D315" s="69"/>
      <c r="E315" s="69"/>
      <c r="F315" s="69"/>
      <c r="G315" s="69"/>
      <c r="H315" s="51"/>
      <c r="I315" s="51"/>
      <c r="J315" s="51"/>
      <c r="K315" s="51"/>
      <c r="L315" s="52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4"/>
      <c r="Y315" s="55"/>
      <c r="Z315" s="52"/>
      <c r="AA315" s="53"/>
      <c r="AB315" s="53"/>
      <c r="AC315" s="53"/>
      <c r="AD315" s="53"/>
      <c r="AE315" s="53"/>
      <c r="AF315" s="53"/>
      <c r="AG315" s="53"/>
      <c r="AH315" s="53"/>
      <c r="AI315" s="53"/>
      <c r="AJ315" s="54"/>
      <c r="AK315" s="56"/>
      <c r="AL315" s="52"/>
      <c r="AM315" s="53"/>
      <c r="AN315" s="53"/>
      <c r="AO315" s="53"/>
      <c r="AP315" s="53"/>
      <c r="AQ315" s="53"/>
      <c r="AR315" s="53"/>
      <c r="AS315" s="53"/>
      <c r="AT315" s="53"/>
      <c r="AU315" s="53"/>
      <c r="AV315" s="54"/>
      <c r="AW315" s="56"/>
      <c r="AX315" s="108"/>
      <c r="AY315" s="77"/>
      <c r="AZ315" s="89"/>
      <c r="BA315" s="50"/>
      <c r="BB315" s="50"/>
      <c r="BC315" s="50"/>
      <c r="BD315" s="50"/>
      <c r="BE315" s="39"/>
      <c r="BF315" s="89"/>
      <c r="BG315" s="50"/>
      <c r="BH315" s="50"/>
      <c r="BI315" s="39">
        <f>AY315</f>
        <v>0</v>
      </c>
      <c r="BJ315" s="426"/>
      <c r="BK315" s="46"/>
      <c r="BL315" s="60"/>
      <c r="BM315" s="61"/>
      <c r="BN315" s="62"/>
      <c r="BO315" s="470"/>
      <c r="BP315" s="64"/>
      <c r="BQ315" s="61"/>
      <c r="BR315" s="65"/>
      <c r="BS315" s="66"/>
      <c r="BT315" s="64"/>
      <c r="BU315" s="61"/>
      <c r="BV315" s="65"/>
      <c r="BW315" s="66"/>
      <c r="BX315" s="67"/>
      <c r="BY315" s="68"/>
      <c r="BZ315" s="69"/>
      <c r="CA315" s="70"/>
      <c r="CB315" s="71"/>
      <c r="CC315" s="72"/>
      <c r="CD315" s="58"/>
      <c r="CE315" s="50"/>
      <c r="CF315" s="73"/>
      <c r="CG315" s="74"/>
      <c r="CH315" s="74"/>
      <c r="CI315" s="74"/>
      <c r="CJ315" s="74"/>
      <c r="CK315" s="74"/>
      <c r="CL315" s="74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7"/>
      <c r="DB315" s="77"/>
      <c r="DC315" s="69"/>
      <c r="DD315" s="69"/>
      <c r="DE315" s="69"/>
      <c r="DF315" s="69"/>
      <c r="DG315" s="51"/>
      <c r="DI315" s="826"/>
      <c r="DJ315" s="788"/>
    </row>
    <row r="316" spans="1:114" s="783" customFormat="1" hidden="1">
      <c r="A316" s="177"/>
      <c r="B316" s="48" t="s">
        <v>51</v>
      </c>
      <c r="C316" s="837" t="s">
        <v>54</v>
      </c>
      <c r="D316" s="69"/>
      <c r="E316" s="69"/>
      <c r="F316" s="69"/>
      <c r="G316" s="69"/>
      <c r="H316" s="51"/>
      <c r="I316" s="51"/>
      <c r="J316" s="51"/>
      <c r="K316" s="51"/>
      <c r="L316" s="52"/>
      <c r="M316" s="53">
        <v>8</v>
      </c>
      <c r="N316" s="53"/>
      <c r="O316" s="53">
        <v>8</v>
      </c>
      <c r="P316" s="53"/>
      <c r="Q316" s="53"/>
      <c r="R316" s="53"/>
      <c r="S316" s="53"/>
      <c r="T316" s="53"/>
      <c r="U316" s="53"/>
      <c r="V316" s="53"/>
      <c r="W316" s="53"/>
      <c r="X316" s="54"/>
      <c r="Y316" s="55"/>
      <c r="Z316" s="52"/>
      <c r="AA316" s="53"/>
      <c r="AB316" s="53"/>
      <c r="AC316" s="53"/>
      <c r="AD316" s="53"/>
      <c r="AE316" s="53"/>
      <c r="AF316" s="53"/>
      <c r="AG316" s="53"/>
      <c r="AH316" s="53"/>
      <c r="AI316" s="53"/>
      <c r="AJ316" s="54"/>
      <c r="AK316" s="56"/>
      <c r="AL316" s="52"/>
      <c r="AM316" s="53"/>
      <c r="AN316" s="53"/>
      <c r="AO316" s="53"/>
      <c r="AP316" s="53"/>
      <c r="AQ316" s="53"/>
      <c r="AR316" s="53"/>
      <c r="AS316" s="53"/>
      <c r="AT316" s="53"/>
      <c r="AU316" s="53"/>
      <c r="AV316" s="54"/>
      <c r="AW316" s="56"/>
      <c r="AX316" s="108"/>
      <c r="AY316" s="77"/>
      <c r="AZ316" s="89"/>
      <c r="BA316" s="50"/>
      <c r="BB316" s="50"/>
      <c r="BC316" s="50"/>
      <c r="BD316" s="50"/>
      <c r="BE316" s="39"/>
      <c r="BF316" s="89"/>
      <c r="BG316" s="50"/>
      <c r="BH316" s="50"/>
      <c r="BI316" s="39">
        <f>AY316</f>
        <v>0</v>
      </c>
      <c r="BJ316" s="426">
        <f>BA316-AZ316</f>
        <v>0</v>
      </c>
      <c r="BK316" s="46"/>
      <c r="BL316" s="60"/>
      <c r="BM316" s="61"/>
      <c r="BN316" s="62"/>
      <c r="BO316" s="470"/>
      <c r="BP316" s="64"/>
      <c r="BQ316" s="61"/>
      <c r="BR316" s="65"/>
      <c r="BS316" s="66"/>
      <c r="BT316" s="64"/>
      <c r="BU316" s="61"/>
      <c r="BV316" s="65"/>
      <c r="BW316" s="66"/>
      <c r="BX316" s="67"/>
      <c r="BY316" s="68"/>
      <c r="BZ316" s="69">
        <f>M316+BM316+BQ316+BU316</f>
        <v>8</v>
      </c>
      <c r="CA316" s="70"/>
      <c r="CB316" s="71"/>
      <c r="CC316" s="72">
        <f>BZ316-E316</f>
        <v>8</v>
      </c>
      <c r="CD316" s="58">
        <v>10.8</v>
      </c>
      <c r="CE316" s="50"/>
      <c r="CF316" s="73"/>
      <c r="CG316" s="74"/>
      <c r="CH316" s="74"/>
      <c r="CI316" s="74"/>
      <c r="CJ316" s="74"/>
      <c r="CK316" s="74"/>
      <c r="CL316" s="74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7"/>
      <c r="DB316" s="77"/>
      <c r="DC316" s="69"/>
      <c r="DD316" s="69"/>
      <c r="DE316" s="69"/>
      <c r="DF316" s="69"/>
      <c r="DG316" s="51"/>
      <c r="DI316" s="826"/>
      <c r="DJ316" s="788"/>
    </row>
    <row r="317" spans="1:114" s="783" customFormat="1" ht="24" hidden="1">
      <c r="A317" s="177" t="s">
        <v>151</v>
      </c>
      <c r="B317" s="318" t="s">
        <v>127</v>
      </c>
      <c r="C317" s="838" t="s">
        <v>54</v>
      </c>
      <c r="D317" s="320"/>
      <c r="E317" s="320"/>
      <c r="F317" s="320"/>
      <c r="G317" s="320"/>
      <c r="H317" s="181"/>
      <c r="I317" s="181"/>
      <c r="J317" s="181"/>
      <c r="K317" s="181"/>
      <c r="L317" s="321"/>
      <c r="M317" s="322"/>
      <c r="N317" s="322"/>
      <c r="O317" s="322"/>
      <c r="P317" s="322"/>
      <c r="Q317" s="322"/>
      <c r="R317" s="322"/>
      <c r="S317" s="322"/>
      <c r="T317" s="322"/>
      <c r="U317" s="322"/>
      <c r="V317" s="322"/>
      <c r="W317" s="322"/>
      <c r="X317" s="216"/>
      <c r="Y317" s="191"/>
      <c r="Z317" s="321"/>
      <c r="AA317" s="322"/>
      <c r="AB317" s="322"/>
      <c r="AC317" s="322"/>
      <c r="AD317" s="322"/>
      <c r="AE317" s="322"/>
      <c r="AF317" s="322"/>
      <c r="AG317" s="322"/>
      <c r="AH317" s="322"/>
      <c r="AI317" s="322"/>
      <c r="AJ317" s="216"/>
      <c r="AK317" s="192"/>
      <c r="AL317" s="321"/>
      <c r="AM317" s="322"/>
      <c r="AN317" s="322"/>
      <c r="AO317" s="322"/>
      <c r="AP317" s="322"/>
      <c r="AQ317" s="322"/>
      <c r="AR317" s="322"/>
      <c r="AS317" s="322"/>
      <c r="AT317" s="322"/>
      <c r="AU317" s="322"/>
      <c r="AV317" s="216"/>
      <c r="AW317" s="192"/>
      <c r="AX317" s="108"/>
      <c r="AY317" s="323"/>
      <c r="AZ317" s="324"/>
      <c r="BA317" s="325"/>
      <c r="BB317" s="325"/>
      <c r="BC317" s="325"/>
      <c r="BD317" s="325"/>
      <c r="BE317" s="326"/>
      <c r="BF317" s="324"/>
      <c r="BG317" s="325"/>
      <c r="BH317" s="325"/>
      <c r="BI317" s="326">
        <f>SUM(BI318:BI321)</f>
        <v>0</v>
      </c>
      <c r="BJ317" s="426"/>
      <c r="BK317" s="481"/>
      <c r="BL317" s="654"/>
      <c r="BM317" s="469"/>
      <c r="BN317" s="185"/>
      <c r="BO317" s="470"/>
      <c r="BP317" s="471"/>
      <c r="BQ317" s="469"/>
      <c r="BR317" s="655"/>
      <c r="BS317" s="473"/>
      <c r="BT317" s="471"/>
      <c r="BU317" s="469"/>
      <c r="BV317" s="655"/>
      <c r="BW317" s="473"/>
      <c r="BX317" s="656"/>
      <c r="BY317" s="475"/>
      <c r="BZ317" s="320"/>
      <c r="CA317" s="657"/>
      <c r="CB317" s="476"/>
      <c r="CC317" s="307"/>
      <c r="CD317" s="658"/>
      <c r="CE317" s="325"/>
      <c r="CF317" s="478"/>
      <c r="CG317" s="465"/>
      <c r="CH317" s="465"/>
      <c r="CI317" s="465"/>
      <c r="CJ317" s="465"/>
      <c r="CK317" s="465"/>
      <c r="CL317" s="465"/>
      <c r="CM317" s="466"/>
      <c r="CN317" s="466"/>
      <c r="CO317" s="466"/>
      <c r="CP317" s="466"/>
      <c r="CQ317" s="466"/>
      <c r="CR317" s="466"/>
      <c r="CS317" s="466"/>
      <c r="CT317" s="466"/>
      <c r="CU317" s="466"/>
      <c r="CV317" s="466"/>
      <c r="CW317" s="466"/>
      <c r="CX317" s="466"/>
      <c r="CY317" s="466"/>
      <c r="CZ317" s="466"/>
      <c r="DA317" s="323"/>
      <c r="DB317" s="323"/>
      <c r="DC317" s="320"/>
      <c r="DD317" s="320"/>
      <c r="DE317" s="320"/>
      <c r="DF317" s="320"/>
      <c r="DG317" s="181"/>
      <c r="DI317" s="826"/>
      <c r="DJ317" s="788"/>
    </row>
    <row r="318" spans="1:114" s="783" customFormat="1" hidden="1">
      <c r="A318" s="177"/>
      <c r="B318" s="48" t="s">
        <v>236</v>
      </c>
      <c r="C318" s="837" t="s">
        <v>54</v>
      </c>
      <c r="D318" s="69"/>
      <c r="E318" s="69"/>
      <c r="F318" s="69"/>
      <c r="G318" s="69"/>
      <c r="H318" s="51"/>
      <c r="I318" s="51"/>
      <c r="J318" s="51"/>
      <c r="K318" s="51"/>
      <c r="L318" s="52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4"/>
      <c r="Y318" s="55"/>
      <c r="Z318" s="52"/>
      <c r="AA318" s="53"/>
      <c r="AB318" s="53"/>
      <c r="AC318" s="53"/>
      <c r="AD318" s="53"/>
      <c r="AE318" s="53"/>
      <c r="AF318" s="53"/>
      <c r="AG318" s="53"/>
      <c r="AH318" s="53"/>
      <c r="AI318" s="53"/>
      <c r="AJ318" s="54"/>
      <c r="AK318" s="56"/>
      <c r="AL318" s="52"/>
      <c r="AM318" s="53"/>
      <c r="AN318" s="53"/>
      <c r="AO318" s="53"/>
      <c r="AP318" s="53"/>
      <c r="AQ318" s="53"/>
      <c r="AR318" s="53"/>
      <c r="AS318" s="53"/>
      <c r="AT318" s="53"/>
      <c r="AU318" s="53"/>
      <c r="AV318" s="54"/>
      <c r="AW318" s="56"/>
      <c r="AX318" s="108"/>
      <c r="AY318" s="77"/>
      <c r="AZ318" s="89"/>
      <c r="BA318" s="50"/>
      <c r="BB318" s="50"/>
      <c r="BC318" s="50"/>
      <c r="BD318" s="50"/>
      <c r="BE318" s="39"/>
      <c r="BF318" s="89"/>
      <c r="BG318" s="50"/>
      <c r="BH318" s="50"/>
      <c r="BI318" s="39">
        <f>AY318</f>
        <v>0</v>
      </c>
      <c r="BJ318" s="426"/>
      <c r="BK318" s="46"/>
      <c r="BL318" s="60"/>
      <c r="BM318" s="61"/>
      <c r="BN318" s="62"/>
      <c r="BO318" s="470"/>
      <c r="BP318" s="64"/>
      <c r="BQ318" s="61"/>
      <c r="BR318" s="65"/>
      <c r="BS318" s="66"/>
      <c r="BT318" s="64"/>
      <c r="BU318" s="61"/>
      <c r="BV318" s="65"/>
      <c r="BW318" s="66"/>
      <c r="BX318" s="67"/>
      <c r="BY318" s="68"/>
      <c r="BZ318" s="69"/>
      <c r="CA318" s="70"/>
      <c r="CB318" s="71"/>
      <c r="CC318" s="72"/>
      <c r="CD318" s="58"/>
      <c r="CE318" s="50"/>
      <c r="CF318" s="73"/>
      <c r="CG318" s="74"/>
      <c r="CH318" s="74"/>
      <c r="CI318" s="74"/>
      <c r="CJ318" s="74"/>
      <c r="CK318" s="74"/>
      <c r="CL318" s="74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7"/>
      <c r="DB318" s="77"/>
      <c r="DC318" s="69"/>
      <c r="DD318" s="69"/>
      <c r="DE318" s="69"/>
      <c r="DF318" s="69"/>
      <c r="DG318" s="51"/>
      <c r="DI318" s="826"/>
      <c r="DJ318" s="788"/>
    </row>
    <row r="319" spans="1:114" s="783" customFormat="1" hidden="1">
      <c r="A319" s="177"/>
      <c r="B319" s="48" t="s">
        <v>237</v>
      </c>
      <c r="C319" s="837"/>
      <c r="D319" s="69"/>
      <c r="E319" s="69"/>
      <c r="F319" s="69"/>
      <c r="G319" s="69"/>
      <c r="H319" s="51"/>
      <c r="I319" s="51"/>
      <c r="J319" s="51"/>
      <c r="K319" s="51"/>
      <c r="L319" s="52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4"/>
      <c r="Y319" s="55"/>
      <c r="Z319" s="52"/>
      <c r="AA319" s="53"/>
      <c r="AB319" s="53"/>
      <c r="AC319" s="53"/>
      <c r="AD319" s="53"/>
      <c r="AE319" s="53"/>
      <c r="AF319" s="53"/>
      <c r="AG319" s="53"/>
      <c r="AH319" s="53"/>
      <c r="AI319" s="53"/>
      <c r="AJ319" s="54"/>
      <c r="AK319" s="56"/>
      <c r="AL319" s="52"/>
      <c r="AM319" s="53"/>
      <c r="AN319" s="53"/>
      <c r="AO319" s="53"/>
      <c r="AP319" s="53"/>
      <c r="AQ319" s="53"/>
      <c r="AR319" s="53"/>
      <c r="AS319" s="53"/>
      <c r="AT319" s="53"/>
      <c r="AU319" s="53"/>
      <c r="AV319" s="54"/>
      <c r="AW319" s="56"/>
      <c r="AX319" s="108"/>
      <c r="AY319" s="77"/>
      <c r="AZ319" s="89"/>
      <c r="BA319" s="50"/>
      <c r="BB319" s="50"/>
      <c r="BC319" s="50"/>
      <c r="BD319" s="50"/>
      <c r="BE319" s="39"/>
      <c r="BF319" s="89"/>
      <c r="BG319" s="50"/>
      <c r="BH319" s="50"/>
      <c r="BI319" s="39">
        <f>AY319</f>
        <v>0</v>
      </c>
      <c r="BJ319" s="426"/>
      <c r="BK319" s="46"/>
      <c r="BL319" s="60"/>
      <c r="BM319" s="61"/>
      <c r="BN319" s="62"/>
      <c r="BO319" s="470"/>
      <c r="BP319" s="64"/>
      <c r="BQ319" s="61"/>
      <c r="BR319" s="65"/>
      <c r="BS319" s="66"/>
      <c r="BT319" s="64"/>
      <c r="BU319" s="61"/>
      <c r="BV319" s="65"/>
      <c r="BW319" s="66"/>
      <c r="BX319" s="67"/>
      <c r="BY319" s="68"/>
      <c r="BZ319" s="69"/>
      <c r="CA319" s="70"/>
      <c r="CB319" s="71"/>
      <c r="CC319" s="72"/>
      <c r="CD319" s="58"/>
      <c r="CE319" s="50"/>
      <c r="CF319" s="73"/>
      <c r="CG319" s="74"/>
      <c r="CH319" s="74"/>
      <c r="CI319" s="74"/>
      <c r="CJ319" s="74"/>
      <c r="CK319" s="74"/>
      <c r="CL319" s="74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7"/>
      <c r="DB319" s="77"/>
      <c r="DC319" s="69"/>
      <c r="DD319" s="69"/>
      <c r="DE319" s="69"/>
      <c r="DF319" s="69"/>
      <c r="DG319" s="51"/>
      <c r="DI319" s="826"/>
      <c r="DJ319" s="788"/>
    </row>
    <row r="320" spans="1:114" s="783" customFormat="1" hidden="1">
      <c r="A320" s="177"/>
      <c r="B320" s="48" t="s">
        <v>128</v>
      </c>
      <c r="C320" s="837" t="s">
        <v>54</v>
      </c>
      <c r="D320" s="69"/>
      <c r="E320" s="69"/>
      <c r="F320" s="69"/>
      <c r="G320" s="69"/>
      <c r="H320" s="51"/>
      <c r="I320" s="51"/>
      <c r="J320" s="51"/>
      <c r="K320" s="51"/>
      <c r="L320" s="52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4"/>
      <c r="Y320" s="55"/>
      <c r="Z320" s="52"/>
      <c r="AA320" s="53"/>
      <c r="AB320" s="53"/>
      <c r="AC320" s="53"/>
      <c r="AD320" s="53"/>
      <c r="AE320" s="53"/>
      <c r="AF320" s="53"/>
      <c r="AG320" s="53"/>
      <c r="AH320" s="53"/>
      <c r="AI320" s="53"/>
      <c r="AJ320" s="54"/>
      <c r="AK320" s="56"/>
      <c r="AL320" s="52"/>
      <c r="AM320" s="53"/>
      <c r="AN320" s="53"/>
      <c r="AO320" s="53"/>
      <c r="AP320" s="53"/>
      <c r="AQ320" s="53"/>
      <c r="AR320" s="53"/>
      <c r="AS320" s="53"/>
      <c r="AT320" s="53"/>
      <c r="AU320" s="53"/>
      <c r="AV320" s="54"/>
      <c r="AW320" s="56"/>
      <c r="AX320" s="108"/>
      <c r="AY320" s="77"/>
      <c r="AZ320" s="89"/>
      <c r="BA320" s="50"/>
      <c r="BB320" s="50"/>
      <c r="BC320" s="50"/>
      <c r="BD320" s="50"/>
      <c r="BE320" s="39"/>
      <c r="BF320" s="89"/>
      <c r="BG320" s="50"/>
      <c r="BH320" s="50"/>
      <c r="BI320" s="39">
        <f>AY320</f>
        <v>0</v>
      </c>
      <c r="BJ320" s="426"/>
      <c r="BK320" s="46"/>
      <c r="BL320" s="60"/>
      <c r="BM320" s="61"/>
      <c r="BN320" s="62"/>
      <c r="BO320" s="470"/>
      <c r="BP320" s="64"/>
      <c r="BQ320" s="61"/>
      <c r="BR320" s="65"/>
      <c r="BS320" s="66"/>
      <c r="BT320" s="64"/>
      <c r="BU320" s="61"/>
      <c r="BV320" s="65"/>
      <c r="BW320" s="66"/>
      <c r="BX320" s="67"/>
      <c r="BY320" s="68"/>
      <c r="BZ320" s="69"/>
      <c r="CA320" s="70"/>
      <c r="CB320" s="71"/>
      <c r="CC320" s="72"/>
      <c r="CD320" s="58"/>
      <c r="CE320" s="50"/>
      <c r="CF320" s="73"/>
      <c r="CG320" s="74"/>
      <c r="CH320" s="74"/>
      <c r="CI320" s="74"/>
      <c r="CJ320" s="74"/>
      <c r="CK320" s="74"/>
      <c r="CL320" s="74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7"/>
      <c r="DB320" s="77"/>
      <c r="DC320" s="69"/>
      <c r="DD320" s="69"/>
      <c r="DE320" s="69"/>
      <c r="DF320" s="69"/>
      <c r="DG320" s="51"/>
      <c r="DI320" s="826"/>
      <c r="DJ320" s="788"/>
    </row>
    <row r="321" spans="1:114" s="783" customFormat="1" hidden="1">
      <c r="A321" s="177"/>
      <c r="B321" s="48" t="s">
        <v>203</v>
      </c>
      <c r="C321" s="837"/>
      <c r="D321" s="69"/>
      <c r="E321" s="69"/>
      <c r="F321" s="69"/>
      <c r="G321" s="69"/>
      <c r="H321" s="51"/>
      <c r="I321" s="51"/>
      <c r="J321" s="51"/>
      <c r="K321" s="51"/>
      <c r="L321" s="52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4"/>
      <c r="Y321" s="55"/>
      <c r="Z321" s="52"/>
      <c r="AA321" s="53"/>
      <c r="AB321" s="53"/>
      <c r="AC321" s="53"/>
      <c r="AD321" s="53"/>
      <c r="AE321" s="53"/>
      <c r="AF321" s="53"/>
      <c r="AG321" s="53"/>
      <c r="AH321" s="53"/>
      <c r="AI321" s="53"/>
      <c r="AJ321" s="54"/>
      <c r="AK321" s="56"/>
      <c r="AL321" s="52"/>
      <c r="AM321" s="53"/>
      <c r="AN321" s="53"/>
      <c r="AO321" s="53"/>
      <c r="AP321" s="53"/>
      <c r="AQ321" s="53"/>
      <c r="AR321" s="53"/>
      <c r="AS321" s="53"/>
      <c r="AT321" s="53"/>
      <c r="AU321" s="53"/>
      <c r="AV321" s="54"/>
      <c r="AW321" s="56"/>
      <c r="AX321" s="108"/>
      <c r="AY321" s="77"/>
      <c r="AZ321" s="89"/>
      <c r="BA321" s="50"/>
      <c r="BB321" s="50"/>
      <c r="BC321" s="50"/>
      <c r="BD321" s="50"/>
      <c r="BE321" s="39"/>
      <c r="BF321" s="89"/>
      <c r="BG321" s="50"/>
      <c r="BH321" s="50"/>
      <c r="BI321" s="39">
        <f>AY321</f>
        <v>0</v>
      </c>
      <c r="BJ321" s="426"/>
      <c r="BK321" s="46"/>
      <c r="BL321" s="60"/>
      <c r="BM321" s="61"/>
      <c r="BN321" s="62"/>
      <c r="BO321" s="470"/>
      <c r="BP321" s="64"/>
      <c r="BQ321" s="61"/>
      <c r="BR321" s="65"/>
      <c r="BS321" s="66"/>
      <c r="BT321" s="64"/>
      <c r="BU321" s="61"/>
      <c r="BV321" s="65"/>
      <c r="BW321" s="66"/>
      <c r="BX321" s="67"/>
      <c r="BY321" s="68"/>
      <c r="BZ321" s="69"/>
      <c r="CA321" s="70"/>
      <c r="CB321" s="71"/>
      <c r="CC321" s="72"/>
      <c r="CD321" s="58"/>
      <c r="CE321" s="50"/>
      <c r="CF321" s="73"/>
      <c r="CG321" s="74"/>
      <c r="CH321" s="74"/>
      <c r="CI321" s="74"/>
      <c r="CJ321" s="74"/>
      <c r="CK321" s="74"/>
      <c r="CL321" s="74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7"/>
      <c r="DB321" s="77"/>
      <c r="DC321" s="69"/>
      <c r="DD321" s="69"/>
      <c r="DE321" s="69"/>
      <c r="DF321" s="69"/>
      <c r="DG321" s="51"/>
      <c r="DI321" s="826"/>
      <c r="DJ321" s="788"/>
    </row>
    <row r="322" spans="1:114" s="783" customFormat="1" hidden="1">
      <c r="A322" s="177" t="s">
        <v>152</v>
      </c>
      <c r="B322" s="327" t="s">
        <v>102</v>
      </c>
      <c r="C322" s="838" t="s">
        <v>54</v>
      </c>
      <c r="D322" s="320"/>
      <c r="E322" s="320"/>
      <c r="F322" s="320"/>
      <c r="G322" s="320"/>
      <c r="H322" s="181"/>
      <c r="I322" s="181"/>
      <c r="J322" s="181"/>
      <c r="K322" s="181"/>
      <c r="L322" s="321"/>
      <c r="M322" s="322">
        <f>SUM(M324)</f>
        <v>5.4249999999999998</v>
      </c>
      <c r="N322" s="322"/>
      <c r="O322" s="322">
        <f>O324</f>
        <v>5.43</v>
      </c>
      <c r="P322" s="322"/>
      <c r="Q322" s="322"/>
      <c r="R322" s="322"/>
      <c r="S322" s="322"/>
      <c r="T322" s="322"/>
      <c r="U322" s="322"/>
      <c r="V322" s="322"/>
      <c r="W322" s="322"/>
      <c r="X322" s="216"/>
      <c r="Y322" s="191"/>
      <c r="Z322" s="321"/>
      <c r="AA322" s="322">
        <f>SUM(AA324)</f>
        <v>3.61</v>
      </c>
      <c r="AB322" s="322"/>
      <c r="AC322" s="322">
        <f>AC324</f>
        <v>0</v>
      </c>
      <c r="AD322" s="322"/>
      <c r="AE322" s="322"/>
      <c r="AF322" s="322"/>
      <c r="AG322" s="322"/>
      <c r="AH322" s="322"/>
      <c r="AI322" s="322"/>
      <c r="AJ322" s="216"/>
      <c r="AK322" s="192"/>
      <c r="AL322" s="321"/>
      <c r="AM322" s="322">
        <f>SUM(AM324)</f>
        <v>3.61</v>
      </c>
      <c r="AN322" s="322"/>
      <c r="AO322" s="322">
        <f>AO324</f>
        <v>0</v>
      </c>
      <c r="AP322" s="322"/>
      <c r="AQ322" s="322"/>
      <c r="AR322" s="322"/>
      <c r="AS322" s="322"/>
      <c r="AT322" s="322"/>
      <c r="AU322" s="322"/>
      <c r="AV322" s="216"/>
      <c r="AW322" s="192"/>
      <c r="AX322" s="108"/>
      <c r="AY322" s="323"/>
      <c r="AZ322" s="324"/>
      <c r="BA322" s="325"/>
      <c r="BB322" s="325"/>
      <c r="BC322" s="325"/>
      <c r="BD322" s="325"/>
      <c r="BE322" s="326"/>
      <c r="BF322" s="324"/>
      <c r="BG322" s="325"/>
      <c r="BH322" s="325"/>
      <c r="BI322" s="326">
        <f>SUM(BI323:BI324)</f>
        <v>0</v>
      </c>
      <c r="BJ322" s="426">
        <f>BA322-AZ322</f>
        <v>0</v>
      </c>
      <c r="BK322" s="46"/>
      <c r="BL322" s="654"/>
      <c r="BM322" s="469">
        <f>BM324</f>
        <v>3.6139999999999999</v>
      </c>
      <c r="BN322" s="185"/>
      <c r="BO322" s="470"/>
      <c r="BP322" s="471"/>
      <c r="BQ322" s="469"/>
      <c r="BR322" s="655"/>
      <c r="BS322" s="473"/>
      <c r="BT322" s="471"/>
      <c r="BU322" s="469"/>
      <c r="BV322" s="655"/>
      <c r="BW322" s="473"/>
      <c r="BX322" s="656"/>
      <c r="BY322" s="475"/>
      <c r="BZ322" s="320"/>
      <c r="CA322" s="657"/>
      <c r="CB322" s="476"/>
      <c r="CC322" s="307"/>
      <c r="CD322" s="658"/>
      <c r="CE322" s="325"/>
      <c r="CF322" s="478"/>
      <c r="CG322" s="465"/>
      <c r="CH322" s="465"/>
      <c r="CI322" s="465"/>
      <c r="CJ322" s="465"/>
      <c r="CK322" s="465"/>
      <c r="CL322" s="465"/>
      <c r="CM322" s="466"/>
      <c r="CN322" s="466"/>
      <c r="CO322" s="466"/>
      <c r="CP322" s="466"/>
      <c r="CQ322" s="466"/>
      <c r="CR322" s="466"/>
      <c r="CS322" s="466"/>
      <c r="CT322" s="466"/>
      <c r="CU322" s="466"/>
      <c r="CV322" s="466"/>
      <c r="CW322" s="466"/>
      <c r="CX322" s="466"/>
      <c r="CY322" s="466"/>
      <c r="CZ322" s="466"/>
      <c r="DA322" s="323"/>
      <c r="DB322" s="323"/>
      <c r="DC322" s="320"/>
      <c r="DD322" s="320"/>
      <c r="DE322" s="320"/>
      <c r="DF322" s="320"/>
      <c r="DG322" s="181"/>
      <c r="DI322" s="826"/>
      <c r="DJ322" s="788"/>
    </row>
    <row r="323" spans="1:114" s="783" customFormat="1" hidden="1">
      <c r="A323" s="47"/>
      <c r="B323" s="48" t="s">
        <v>168</v>
      </c>
      <c r="C323" s="837" t="s">
        <v>54</v>
      </c>
      <c r="D323" s="69"/>
      <c r="E323" s="69"/>
      <c r="F323" s="69"/>
      <c r="G323" s="69"/>
      <c r="H323" s="51"/>
      <c r="I323" s="51"/>
      <c r="J323" s="51"/>
      <c r="K323" s="51"/>
      <c r="L323" s="52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4"/>
      <c r="Y323" s="55"/>
      <c r="Z323" s="52"/>
      <c r="AA323" s="53"/>
      <c r="AB323" s="53"/>
      <c r="AC323" s="53"/>
      <c r="AD323" s="53"/>
      <c r="AE323" s="53"/>
      <c r="AF323" s="53"/>
      <c r="AG323" s="53"/>
      <c r="AH323" s="53"/>
      <c r="AI323" s="53"/>
      <c r="AJ323" s="54"/>
      <c r="AK323" s="56"/>
      <c r="AL323" s="52"/>
      <c r="AM323" s="53"/>
      <c r="AN323" s="53"/>
      <c r="AO323" s="53"/>
      <c r="AP323" s="53"/>
      <c r="AQ323" s="53"/>
      <c r="AR323" s="53"/>
      <c r="AS323" s="53"/>
      <c r="AT323" s="53"/>
      <c r="AU323" s="53"/>
      <c r="AV323" s="54"/>
      <c r="AW323" s="56"/>
      <c r="AX323" s="57"/>
      <c r="AY323" s="77"/>
      <c r="AZ323" s="89"/>
      <c r="BA323" s="50"/>
      <c r="BB323" s="50"/>
      <c r="BC323" s="50"/>
      <c r="BD323" s="50"/>
      <c r="BE323" s="39"/>
      <c r="BF323" s="89"/>
      <c r="BG323" s="50"/>
      <c r="BH323" s="50"/>
      <c r="BI323" s="39">
        <f>AY323</f>
        <v>0</v>
      </c>
      <c r="BJ323" s="59"/>
      <c r="BK323" s="46"/>
      <c r="BL323" s="60"/>
      <c r="BM323" s="61"/>
      <c r="BN323" s="62"/>
      <c r="BO323" s="63"/>
      <c r="BP323" s="64"/>
      <c r="BQ323" s="61"/>
      <c r="BR323" s="65"/>
      <c r="BS323" s="66"/>
      <c r="BT323" s="64"/>
      <c r="BU323" s="61"/>
      <c r="BV323" s="65"/>
      <c r="BW323" s="66"/>
      <c r="BX323" s="67"/>
      <c r="BY323" s="68"/>
      <c r="BZ323" s="69"/>
      <c r="CA323" s="70"/>
      <c r="CB323" s="71"/>
      <c r="CC323" s="72"/>
      <c r="CD323" s="58"/>
      <c r="CE323" s="50"/>
      <c r="CF323" s="73"/>
      <c r="CG323" s="74"/>
      <c r="CH323" s="74"/>
      <c r="CI323" s="74"/>
      <c r="CJ323" s="74"/>
      <c r="CK323" s="74"/>
      <c r="CL323" s="74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7"/>
      <c r="DB323" s="77"/>
      <c r="DC323" s="69"/>
      <c r="DD323" s="69"/>
      <c r="DE323" s="69"/>
      <c r="DF323" s="69"/>
      <c r="DG323" s="51"/>
      <c r="DI323" s="826"/>
      <c r="DJ323" s="788"/>
    </row>
    <row r="324" spans="1:114" s="783" customFormat="1" hidden="1">
      <c r="A324" s="177"/>
      <c r="B324" s="48" t="s">
        <v>52</v>
      </c>
      <c r="C324" s="837" t="s">
        <v>54</v>
      </c>
      <c r="D324" s="69"/>
      <c r="E324" s="69"/>
      <c r="F324" s="69"/>
      <c r="G324" s="69"/>
      <c r="H324" s="51"/>
      <c r="I324" s="51"/>
      <c r="J324" s="51"/>
      <c r="K324" s="51"/>
      <c r="L324" s="52"/>
      <c r="M324" s="53">
        <v>5.4249999999999998</v>
      </c>
      <c r="N324" s="53"/>
      <c r="O324" s="53">
        <v>5.43</v>
      </c>
      <c r="P324" s="53"/>
      <c r="Q324" s="53"/>
      <c r="R324" s="53"/>
      <c r="S324" s="53"/>
      <c r="T324" s="53"/>
      <c r="U324" s="53"/>
      <c r="V324" s="53"/>
      <c r="W324" s="53"/>
      <c r="X324" s="54"/>
      <c r="Y324" s="55"/>
      <c r="Z324" s="52"/>
      <c r="AA324" s="53">
        <v>3.61</v>
      </c>
      <c r="AB324" s="53"/>
      <c r="AC324" s="53"/>
      <c r="AD324" s="53"/>
      <c r="AE324" s="53"/>
      <c r="AF324" s="53"/>
      <c r="AG324" s="53"/>
      <c r="AH324" s="53"/>
      <c r="AI324" s="53"/>
      <c r="AJ324" s="54"/>
      <c r="AK324" s="56"/>
      <c r="AL324" s="52"/>
      <c r="AM324" s="53">
        <v>3.61</v>
      </c>
      <c r="AN324" s="53"/>
      <c r="AO324" s="53"/>
      <c r="AP324" s="53"/>
      <c r="AQ324" s="53"/>
      <c r="AR324" s="53"/>
      <c r="AS324" s="53"/>
      <c r="AT324" s="53"/>
      <c r="AU324" s="53"/>
      <c r="AV324" s="54"/>
      <c r="AW324" s="56"/>
      <c r="AX324" s="108"/>
      <c r="AY324" s="77"/>
      <c r="AZ324" s="89"/>
      <c r="BA324" s="50"/>
      <c r="BB324" s="50"/>
      <c r="BC324" s="50"/>
      <c r="BD324" s="50"/>
      <c r="BE324" s="39"/>
      <c r="BF324" s="89"/>
      <c r="BG324" s="50"/>
      <c r="BH324" s="50"/>
      <c r="BI324" s="39">
        <f>AY324</f>
        <v>0</v>
      </c>
      <c r="BJ324" s="426">
        <f t="shared" ref="BJ324:BJ330" si="173">BA324-AZ324</f>
        <v>0</v>
      </c>
      <c r="BK324" s="46"/>
      <c r="BL324" s="60"/>
      <c r="BM324" s="61">
        <v>3.6139999999999999</v>
      </c>
      <c r="BN324" s="62"/>
      <c r="BO324" s="470"/>
      <c r="BP324" s="64"/>
      <c r="BQ324" s="61"/>
      <c r="BR324" s="65"/>
      <c r="BS324" s="66"/>
      <c r="BT324" s="64"/>
      <c r="BU324" s="61"/>
      <c r="BV324" s="65"/>
      <c r="BW324" s="66"/>
      <c r="BX324" s="67"/>
      <c r="BY324" s="68"/>
      <c r="BZ324" s="69">
        <f>M324+BM324+BQ324+BU324</f>
        <v>9.0389999999999997</v>
      </c>
      <c r="CA324" s="70"/>
      <c r="CB324" s="71"/>
      <c r="CC324" s="72">
        <f>BZ324-E324</f>
        <v>9.0389999999999997</v>
      </c>
      <c r="CD324" s="58">
        <v>79.53</v>
      </c>
      <c r="CE324" s="50"/>
      <c r="CF324" s="73"/>
      <c r="CG324" s="74"/>
      <c r="CH324" s="74"/>
      <c r="CI324" s="74"/>
      <c r="CJ324" s="74"/>
      <c r="CK324" s="74"/>
      <c r="CL324" s="74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7"/>
      <c r="DB324" s="77"/>
      <c r="DC324" s="69"/>
      <c r="DD324" s="69"/>
      <c r="DE324" s="69"/>
      <c r="DF324" s="69"/>
      <c r="DG324" s="51"/>
      <c r="DI324" s="826"/>
      <c r="DJ324" s="788"/>
    </row>
    <row r="325" spans="1:114" s="783" customFormat="1" hidden="1">
      <c r="A325" s="47" t="s">
        <v>141</v>
      </c>
      <c r="B325" s="48" t="s">
        <v>136</v>
      </c>
      <c r="C325" s="837" t="s">
        <v>54</v>
      </c>
      <c r="D325" s="69"/>
      <c r="E325" s="69"/>
      <c r="F325" s="69"/>
      <c r="G325" s="69"/>
      <c r="H325" s="51"/>
      <c r="I325" s="51"/>
      <c r="J325" s="51"/>
      <c r="K325" s="51"/>
      <c r="L325" s="52"/>
      <c r="M325" s="53">
        <f>SUM(M326)</f>
        <v>5.4249999999999998</v>
      </c>
      <c r="N325" s="53"/>
      <c r="O325" s="53">
        <f>O326</f>
        <v>5.43</v>
      </c>
      <c r="P325" s="53"/>
      <c r="Q325" s="53"/>
      <c r="R325" s="53"/>
      <c r="S325" s="53"/>
      <c r="T325" s="53"/>
      <c r="U325" s="53"/>
      <c r="V325" s="53"/>
      <c r="W325" s="53"/>
      <c r="X325" s="54"/>
      <c r="Y325" s="55"/>
      <c r="Z325" s="52"/>
      <c r="AA325" s="53">
        <f>SUM(AA326)</f>
        <v>3.61</v>
      </c>
      <c r="AB325" s="53"/>
      <c r="AC325" s="53">
        <f>AC326</f>
        <v>0</v>
      </c>
      <c r="AD325" s="53"/>
      <c r="AE325" s="53"/>
      <c r="AF325" s="53"/>
      <c r="AG325" s="53"/>
      <c r="AH325" s="53"/>
      <c r="AI325" s="53"/>
      <c r="AJ325" s="54"/>
      <c r="AK325" s="56"/>
      <c r="AL325" s="52"/>
      <c r="AM325" s="53">
        <f>SUM(AM326)</f>
        <v>3.61</v>
      </c>
      <c r="AN325" s="53"/>
      <c r="AO325" s="53">
        <f>AO326</f>
        <v>0</v>
      </c>
      <c r="AP325" s="53"/>
      <c r="AQ325" s="53"/>
      <c r="AR325" s="53"/>
      <c r="AS325" s="53"/>
      <c r="AT325" s="53"/>
      <c r="AU325" s="53"/>
      <c r="AV325" s="54"/>
      <c r="AW325" s="56"/>
      <c r="AX325" s="57"/>
      <c r="AY325" s="77"/>
      <c r="AZ325" s="89"/>
      <c r="BA325" s="50">
        <f>AY325</f>
        <v>0</v>
      </c>
      <c r="BB325" s="50"/>
      <c r="BC325" s="50"/>
      <c r="BD325" s="50"/>
      <c r="BE325" s="39"/>
      <c r="BF325" s="89"/>
      <c r="BG325" s="50"/>
      <c r="BH325" s="50"/>
      <c r="BI325" s="39">
        <f>SUM(BI326)</f>
        <v>0</v>
      </c>
      <c r="BJ325" s="59">
        <f t="shared" si="173"/>
        <v>0</v>
      </c>
      <c r="BK325" s="46"/>
      <c r="BL325" s="60"/>
      <c r="BM325" s="61">
        <f>BM326</f>
        <v>3.6139999999999999</v>
      </c>
      <c r="BN325" s="62"/>
      <c r="BO325" s="63"/>
      <c r="BP325" s="64"/>
      <c r="BQ325" s="61"/>
      <c r="BR325" s="65"/>
      <c r="BS325" s="66"/>
      <c r="BT325" s="64"/>
      <c r="BU325" s="61"/>
      <c r="BV325" s="65"/>
      <c r="BW325" s="66"/>
      <c r="BX325" s="67"/>
      <c r="BY325" s="68"/>
      <c r="BZ325" s="69"/>
      <c r="CA325" s="70"/>
      <c r="CB325" s="71"/>
      <c r="CC325" s="72"/>
      <c r="CD325" s="58"/>
      <c r="CE325" s="50"/>
      <c r="CF325" s="73"/>
      <c r="CG325" s="74"/>
      <c r="CH325" s="74"/>
      <c r="CI325" s="74"/>
      <c r="CJ325" s="74"/>
      <c r="CK325" s="74"/>
      <c r="CL325" s="74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7"/>
      <c r="DB325" s="77"/>
      <c r="DC325" s="69"/>
      <c r="DD325" s="69"/>
      <c r="DE325" s="69"/>
      <c r="DF325" s="69"/>
      <c r="DG325" s="51"/>
      <c r="DI325" s="826"/>
      <c r="DJ325" s="788"/>
    </row>
    <row r="326" spans="1:114" s="783" customFormat="1" hidden="1">
      <c r="A326" s="177"/>
      <c r="B326" s="48" t="s">
        <v>136</v>
      </c>
      <c r="C326" s="837" t="s">
        <v>54</v>
      </c>
      <c r="D326" s="69"/>
      <c r="E326" s="69"/>
      <c r="F326" s="69"/>
      <c r="G326" s="69"/>
      <c r="H326" s="51"/>
      <c r="I326" s="51"/>
      <c r="J326" s="51"/>
      <c r="K326" s="51"/>
      <c r="L326" s="52"/>
      <c r="M326" s="53">
        <v>5.4249999999999998</v>
      </c>
      <c r="N326" s="53"/>
      <c r="O326" s="53">
        <v>5.43</v>
      </c>
      <c r="P326" s="53"/>
      <c r="Q326" s="53"/>
      <c r="R326" s="53"/>
      <c r="S326" s="53"/>
      <c r="T326" s="53"/>
      <c r="U326" s="53"/>
      <c r="V326" s="53"/>
      <c r="W326" s="53"/>
      <c r="X326" s="54"/>
      <c r="Y326" s="55"/>
      <c r="Z326" s="52"/>
      <c r="AA326" s="53">
        <v>3.61</v>
      </c>
      <c r="AB326" s="53"/>
      <c r="AC326" s="53"/>
      <c r="AD326" s="53"/>
      <c r="AE326" s="53"/>
      <c r="AF326" s="53"/>
      <c r="AG326" s="53"/>
      <c r="AH326" s="53"/>
      <c r="AI326" s="53"/>
      <c r="AJ326" s="54"/>
      <c r="AK326" s="56"/>
      <c r="AL326" s="52"/>
      <c r="AM326" s="53">
        <v>3.61</v>
      </c>
      <c r="AN326" s="53"/>
      <c r="AO326" s="53"/>
      <c r="AP326" s="53"/>
      <c r="AQ326" s="53"/>
      <c r="AR326" s="53"/>
      <c r="AS326" s="53"/>
      <c r="AT326" s="53"/>
      <c r="AU326" s="53"/>
      <c r="AV326" s="54"/>
      <c r="AW326" s="56"/>
      <c r="AX326" s="108"/>
      <c r="AY326" s="77"/>
      <c r="AZ326" s="89"/>
      <c r="BA326" s="50">
        <f>AY326</f>
        <v>0</v>
      </c>
      <c r="BB326" s="50"/>
      <c r="BC326" s="50"/>
      <c r="BD326" s="50"/>
      <c r="BE326" s="39"/>
      <c r="BF326" s="89"/>
      <c r="BG326" s="50"/>
      <c r="BH326" s="50"/>
      <c r="BI326" s="39"/>
      <c r="BJ326" s="426">
        <f t="shared" si="173"/>
        <v>0</v>
      </c>
      <c r="BK326" s="46"/>
      <c r="BL326" s="60"/>
      <c r="BM326" s="61">
        <v>3.6139999999999999</v>
      </c>
      <c r="BN326" s="62"/>
      <c r="BO326" s="470"/>
      <c r="BP326" s="64"/>
      <c r="BQ326" s="61"/>
      <c r="BR326" s="65"/>
      <c r="BS326" s="66"/>
      <c r="BT326" s="64"/>
      <c r="BU326" s="61"/>
      <c r="BV326" s="65"/>
      <c r="BW326" s="66"/>
      <c r="BX326" s="67"/>
      <c r="BY326" s="68"/>
      <c r="BZ326" s="69">
        <f>M326+BM326+BQ326+BU326</f>
        <v>9.0389999999999997</v>
      </c>
      <c r="CA326" s="70"/>
      <c r="CB326" s="71"/>
      <c r="CC326" s="72">
        <f>BZ326-E326</f>
        <v>9.0389999999999997</v>
      </c>
      <c r="CD326" s="58">
        <v>79.53</v>
      </c>
      <c r="CE326" s="50"/>
      <c r="CF326" s="73"/>
      <c r="CG326" s="74"/>
      <c r="CH326" s="74"/>
      <c r="CI326" s="74"/>
      <c r="CJ326" s="74"/>
      <c r="CK326" s="74"/>
      <c r="CL326" s="74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7"/>
      <c r="DB326" s="77"/>
      <c r="DC326" s="69"/>
      <c r="DD326" s="69"/>
      <c r="DE326" s="69"/>
      <c r="DF326" s="69"/>
      <c r="DG326" s="51"/>
      <c r="DI326" s="826"/>
      <c r="DJ326" s="788"/>
    </row>
    <row r="327" spans="1:114" s="783" customFormat="1" hidden="1">
      <c r="A327" s="177" t="s">
        <v>153</v>
      </c>
      <c r="B327" s="327" t="s">
        <v>103</v>
      </c>
      <c r="C327" s="838" t="s">
        <v>54</v>
      </c>
      <c r="D327" s="320"/>
      <c r="E327" s="320"/>
      <c r="F327" s="320"/>
      <c r="G327" s="320"/>
      <c r="H327" s="181"/>
      <c r="I327" s="181"/>
      <c r="J327" s="181"/>
      <c r="K327" s="181"/>
      <c r="L327" s="321"/>
      <c r="M327" s="322">
        <f>SUM(M328)</f>
        <v>1.81E-3</v>
      </c>
      <c r="N327" s="322"/>
      <c r="O327" s="322"/>
      <c r="P327" s="322"/>
      <c r="Q327" s="322"/>
      <c r="R327" s="322"/>
      <c r="S327" s="322"/>
      <c r="T327" s="322"/>
      <c r="U327" s="322"/>
      <c r="V327" s="322"/>
      <c r="W327" s="322"/>
      <c r="X327" s="216"/>
      <c r="Y327" s="191"/>
      <c r="Z327" s="321"/>
      <c r="AA327" s="322">
        <f>SUM(AA328)</f>
        <v>0</v>
      </c>
      <c r="AB327" s="322"/>
      <c r="AC327" s="322"/>
      <c r="AD327" s="322"/>
      <c r="AE327" s="322"/>
      <c r="AF327" s="322"/>
      <c r="AG327" s="322"/>
      <c r="AH327" s="322"/>
      <c r="AI327" s="322"/>
      <c r="AJ327" s="216"/>
      <c r="AK327" s="192"/>
      <c r="AL327" s="321"/>
      <c r="AM327" s="322">
        <f>SUM(AM328)</f>
        <v>0</v>
      </c>
      <c r="AN327" s="322"/>
      <c r="AO327" s="322"/>
      <c r="AP327" s="322"/>
      <c r="AQ327" s="322"/>
      <c r="AR327" s="322"/>
      <c r="AS327" s="322"/>
      <c r="AT327" s="322"/>
      <c r="AU327" s="322"/>
      <c r="AV327" s="216"/>
      <c r="AW327" s="192"/>
      <c r="AX327" s="108"/>
      <c r="AY327" s="323"/>
      <c r="AZ327" s="324"/>
      <c r="BA327" s="325"/>
      <c r="BB327" s="325"/>
      <c r="BC327" s="325"/>
      <c r="BD327" s="325"/>
      <c r="BE327" s="326"/>
      <c r="BF327" s="324"/>
      <c r="BG327" s="325"/>
      <c r="BH327" s="325"/>
      <c r="BI327" s="326">
        <f>AY327</f>
        <v>0</v>
      </c>
      <c r="BJ327" s="426">
        <f t="shared" si="173"/>
        <v>0</v>
      </c>
      <c r="BK327" s="46"/>
      <c r="BL327" s="654"/>
      <c r="BM327" s="469">
        <f>BM328</f>
        <v>0</v>
      </c>
      <c r="BN327" s="185"/>
      <c r="BO327" s="470"/>
      <c r="BP327" s="471"/>
      <c r="BQ327" s="469"/>
      <c r="BR327" s="655"/>
      <c r="BS327" s="473"/>
      <c r="BT327" s="471"/>
      <c r="BU327" s="469"/>
      <c r="BV327" s="655"/>
      <c r="BW327" s="473"/>
      <c r="BX327" s="656"/>
      <c r="BY327" s="475"/>
      <c r="BZ327" s="320"/>
      <c r="CA327" s="657"/>
      <c r="CB327" s="476"/>
      <c r="CC327" s="307"/>
      <c r="CD327" s="658"/>
      <c r="CE327" s="325"/>
      <c r="CF327" s="478"/>
      <c r="CG327" s="465"/>
      <c r="CH327" s="465"/>
      <c r="CI327" s="465"/>
      <c r="CJ327" s="465"/>
      <c r="CK327" s="465"/>
      <c r="CL327" s="465"/>
      <c r="CM327" s="466"/>
      <c r="CN327" s="466"/>
      <c r="CO327" s="466"/>
      <c r="CP327" s="466"/>
      <c r="CQ327" s="466"/>
      <c r="CR327" s="466"/>
      <c r="CS327" s="466"/>
      <c r="CT327" s="466"/>
      <c r="CU327" s="466"/>
      <c r="CV327" s="466"/>
      <c r="CW327" s="466"/>
      <c r="CX327" s="466"/>
      <c r="CY327" s="466"/>
      <c r="CZ327" s="466"/>
      <c r="DA327" s="323"/>
      <c r="DB327" s="323"/>
      <c r="DC327" s="320"/>
      <c r="DD327" s="320"/>
      <c r="DE327" s="320"/>
      <c r="DF327" s="320"/>
      <c r="DG327" s="181"/>
      <c r="DI327" s="826"/>
      <c r="DJ327" s="788"/>
    </row>
    <row r="328" spans="1:114" s="783" customFormat="1" hidden="1">
      <c r="A328" s="194"/>
      <c r="B328" s="328" t="s">
        <v>53</v>
      </c>
      <c r="C328" s="840" t="s">
        <v>54</v>
      </c>
      <c r="D328" s="20"/>
      <c r="E328" s="20"/>
      <c r="F328" s="20"/>
      <c r="G328" s="20"/>
      <c r="H328" s="196"/>
      <c r="I328" s="196"/>
      <c r="J328" s="196"/>
      <c r="K328" s="196"/>
      <c r="L328" s="329"/>
      <c r="M328" s="330">
        <v>1.81E-3</v>
      </c>
      <c r="N328" s="330"/>
      <c r="O328" s="330"/>
      <c r="P328" s="330"/>
      <c r="Q328" s="330"/>
      <c r="R328" s="330"/>
      <c r="S328" s="330"/>
      <c r="T328" s="330"/>
      <c r="U328" s="330"/>
      <c r="V328" s="330"/>
      <c r="W328" s="330"/>
      <c r="X328" s="218"/>
      <c r="Y328" s="197"/>
      <c r="Z328" s="329"/>
      <c r="AA328" s="330"/>
      <c r="AB328" s="330"/>
      <c r="AC328" s="330"/>
      <c r="AD328" s="330"/>
      <c r="AE328" s="330"/>
      <c r="AF328" s="330"/>
      <c r="AG328" s="330"/>
      <c r="AH328" s="330"/>
      <c r="AI328" s="330"/>
      <c r="AJ328" s="218"/>
      <c r="AK328" s="198"/>
      <c r="AL328" s="329"/>
      <c r="AM328" s="330"/>
      <c r="AN328" s="330"/>
      <c r="AO328" s="330"/>
      <c r="AP328" s="330"/>
      <c r="AQ328" s="330"/>
      <c r="AR328" s="330"/>
      <c r="AS328" s="330"/>
      <c r="AT328" s="330"/>
      <c r="AU328" s="330"/>
      <c r="AV328" s="218"/>
      <c r="AW328" s="198"/>
      <c r="AX328" s="287"/>
      <c r="AY328" s="95"/>
      <c r="AZ328" s="331"/>
      <c r="BA328" s="332"/>
      <c r="BB328" s="332"/>
      <c r="BC328" s="332"/>
      <c r="BD328" s="332"/>
      <c r="BE328" s="333"/>
      <c r="BF328" s="331"/>
      <c r="BG328" s="332"/>
      <c r="BH328" s="332"/>
      <c r="BI328" s="333">
        <f>AY328</f>
        <v>0</v>
      </c>
      <c r="BJ328" s="435">
        <f t="shared" si="173"/>
        <v>0</v>
      </c>
      <c r="BK328" s="482"/>
      <c r="BL328" s="659"/>
      <c r="BM328" s="483"/>
      <c r="BN328" s="150"/>
      <c r="BO328" s="484"/>
      <c r="BP328" s="485"/>
      <c r="BQ328" s="483"/>
      <c r="BR328" s="486"/>
      <c r="BS328" s="487"/>
      <c r="BT328" s="485"/>
      <c r="BU328" s="483"/>
      <c r="BV328" s="486"/>
      <c r="BW328" s="487"/>
      <c r="BX328" s="660"/>
      <c r="BY328" s="488"/>
      <c r="BZ328" s="489">
        <f>M328+BM328+BQ328+BU328</f>
        <v>1.81E-3</v>
      </c>
      <c r="CA328" s="490"/>
      <c r="CB328" s="491"/>
      <c r="CC328" s="246">
        <f t="shared" ref="CC328:CC335" si="174">BZ328-E328</f>
        <v>1.81E-3</v>
      </c>
      <c r="CD328" s="661">
        <v>25.91</v>
      </c>
      <c r="CE328" s="332"/>
      <c r="CF328" s="492"/>
      <c r="CG328" s="74"/>
      <c r="CH328" s="74"/>
      <c r="CI328" s="74"/>
      <c r="CJ328" s="74"/>
      <c r="CK328" s="74"/>
      <c r="CL328" s="74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95"/>
      <c r="DB328" s="95"/>
      <c r="DC328" s="20"/>
      <c r="DD328" s="20"/>
      <c r="DE328" s="20"/>
      <c r="DF328" s="20"/>
      <c r="DG328" s="51"/>
      <c r="DI328" s="826"/>
      <c r="DJ328" s="788"/>
    </row>
    <row r="329" spans="1:114" s="783" customFormat="1" hidden="1">
      <c r="A329" s="267"/>
      <c r="B329" s="334" t="s">
        <v>238</v>
      </c>
      <c r="C329" s="852"/>
      <c r="D329" s="83"/>
      <c r="E329" s="83"/>
      <c r="F329" s="83"/>
      <c r="G329" s="83"/>
      <c r="H329" s="83"/>
      <c r="I329" s="83"/>
      <c r="J329" s="83"/>
      <c r="K329" s="83"/>
      <c r="L329" s="33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337"/>
      <c r="Y329" s="338"/>
      <c r="Z329" s="336"/>
      <c r="AA329" s="96"/>
      <c r="AB329" s="96"/>
      <c r="AC329" s="96"/>
      <c r="AD329" s="96"/>
      <c r="AE329" s="96"/>
      <c r="AF329" s="96"/>
      <c r="AG329" s="96"/>
      <c r="AH329" s="96"/>
      <c r="AI329" s="96"/>
      <c r="AJ329" s="337"/>
      <c r="AK329" s="339"/>
      <c r="AL329" s="336"/>
      <c r="AM329" s="96"/>
      <c r="AN329" s="96"/>
      <c r="AO329" s="96"/>
      <c r="AP329" s="96"/>
      <c r="AQ329" s="96"/>
      <c r="AR329" s="96"/>
      <c r="AS329" s="96"/>
      <c r="AT329" s="96"/>
      <c r="AU329" s="96"/>
      <c r="AV329" s="337"/>
      <c r="AW329" s="339"/>
      <c r="AX329" s="274"/>
      <c r="AY329" s="96"/>
      <c r="AZ329" s="340"/>
      <c r="BA329" s="341"/>
      <c r="BB329" s="341"/>
      <c r="BC329" s="341"/>
      <c r="BD329" s="341"/>
      <c r="BE329" s="342"/>
      <c r="BF329" s="340"/>
      <c r="BG329" s="341"/>
      <c r="BH329" s="341"/>
      <c r="BI329" s="333">
        <f>AY329</f>
        <v>0</v>
      </c>
      <c r="BJ329" s="601"/>
      <c r="BK329" s="662"/>
      <c r="BL329" s="663"/>
      <c r="BM329" s="606"/>
      <c r="BN329" s="276"/>
      <c r="BO329" s="604"/>
      <c r="BP329" s="605"/>
      <c r="BQ329" s="606"/>
      <c r="BR329" s="607"/>
      <c r="BS329" s="608"/>
      <c r="BT329" s="605"/>
      <c r="BU329" s="606"/>
      <c r="BV329" s="607"/>
      <c r="BW329" s="608"/>
      <c r="BX329" s="664"/>
      <c r="BY329" s="610"/>
      <c r="BZ329" s="83"/>
      <c r="CA329" s="611"/>
      <c r="CB329" s="612"/>
      <c r="CC329" s="269"/>
      <c r="CD329" s="665"/>
      <c r="CE329" s="341"/>
      <c r="CF329" s="615"/>
      <c r="CG329" s="616"/>
      <c r="CH329" s="616"/>
      <c r="CI329" s="616"/>
      <c r="CJ329" s="616"/>
      <c r="CK329" s="616"/>
      <c r="CL329" s="616"/>
      <c r="CM329" s="617"/>
      <c r="CN329" s="617"/>
      <c r="CO329" s="617"/>
      <c r="CP329" s="617"/>
      <c r="CQ329" s="617"/>
      <c r="CR329" s="617"/>
      <c r="CS329" s="617"/>
      <c r="CT329" s="617"/>
      <c r="CU329" s="617"/>
      <c r="CV329" s="617"/>
      <c r="CW329" s="617"/>
      <c r="CX329" s="617"/>
      <c r="CY329" s="617"/>
      <c r="CZ329" s="617"/>
      <c r="DA329" s="96"/>
      <c r="DB329" s="96"/>
      <c r="DC329" s="83"/>
      <c r="DD329" s="83"/>
      <c r="DE329" s="83"/>
      <c r="DF329" s="83"/>
      <c r="DG329" s="51"/>
      <c r="DI329" s="826"/>
      <c r="DJ329" s="788"/>
    </row>
    <row r="330" spans="1:114" s="783" customFormat="1">
      <c r="A330" s="208" t="s">
        <v>274</v>
      </c>
      <c r="B330" s="153" t="s">
        <v>45</v>
      </c>
      <c r="C330" s="833" t="s">
        <v>54</v>
      </c>
      <c r="D330" s="162">
        <f>SUM(D166,D167,D296)</f>
        <v>42177.901579999991</v>
      </c>
      <c r="E330" s="162">
        <f>SUM(E166,E167,E296)</f>
        <v>44826.081580000013</v>
      </c>
      <c r="F330" s="162">
        <f>SUM(F166,F167,F296)</f>
        <v>45643.427090000005</v>
      </c>
      <c r="G330" s="162">
        <f>SUM(G166,G167,G296)</f>
        <v>45643.431749999996</v>
      </c>
      <c r="H330" s="162" t="e">
        <f>H166+H167+H263+H296</f>
        <v>#REF!</v>
      </c>
      <c r="I330" s="162" t="e">
        <f>I166+I167+I263+I296</f>
        <v>#REF!</v>
      </c>
      <c r="J330" s="162" t="e">
        <f>J166+J167+J263+J296</f>
        <v>#REF!</v>
      </c>
      <c r="K330" s="162" t="e">
        <f>K166+K167+K263+K296</f>
        <v>#REF!</v>
      </c>
      <c r="L330" s="162" t="e">
        <f>L166+L167+L296</f>
        <v>#REF!</v>
      </c>
      <c r="M330" s="162" t="e">
        <f>M166+M167+M263+M296</f>
        <v>#REF!</v>
      </c>
      <c r="N330" s="162">
        <v>1233.26</v>
      </c>
      <c r="O330" s="162">
        <v>1287.94</v>
      </c>
      <c r="P330" s="162">
        <v>137.03</v>
      </c>
      <c r="Q330" s="162">
        <v>132.13999999999999</v>
      </c>
      <c r="R330" s="162">
        <v>1232.47</v>
      </c>
      <c r="S330" s="162">
        <v>1058.58</v>
      </c>
      <c r="T330" s="162" t="e">
        <f>T166+T167+T296</f>
        <v>#REF!</v>
      </c>
      <c r="U330" s="162" t="e">
        <f>U166+U167+U296</f>
        <v>#REF!</v>
      </c>
      <c r="V330" s="162" t="e">
        <f>V166</f>
        <v>#REF!</v>
      </c>
      <c r="W330" s="162">
        <f>W263</f>
        <v>185.20000000000002</v>
      </c>
      <c r="X330" s="209">
        <f>O330-N330</f>
        <v>54.680000000000064</v>
      </c>
      <c r="Y330" s="210">
        <f>O330/N330</f>
        <v>1.0443377714350583</v>
      </c>
      <c r="Z330" s="162" t="e">
        <f>Z166+Z167+Z296</f>
        <v>#REF!</v>
      </c>
      <c r="AA330" s="162" t="e">
        <f>AA166+AA167+AA263+AA296</f>
        <v>#REF!</v>
      </c>
      <c r="AB330" s="162" t="e">
        <f t="shared" ref="AB330:AG330" si="175">AB166+AB167+AB296</f>
        <v>#REF!</v>
      </c>
      <c r="AC330" s="162" t="e">
        <f t="shared" si="175"/>
        <v>#REF!</v>
      </c>
      <c r="AD330" s="162" t="e">
        <f t="shared" si="175"/>
        <v>#REF!</v>
      </c>
      <c r="AE330" s="162" t="e">
        <f t="shared" si="175"/>
        <v>#REF!</v>
      </c>
      <c r="AF330" s="162" t="e">
        <f t="shared" si="175"/>
        <v>#REF!</v>
      </c>
      <c r="AG330" s="162" t="e">
        <f t="shared" si="175"/>
        <v>#REF!</v>
      </c>
      <c r="AH330" s="162" t="e">
        <f>AH166</f>
        <v>#REF!</v>
      </c>
      <c r="AI330" s="162">
        <f>AI263</f>
        <v>0</v>
      </c>
      <c r="AJ330" s="209" t="e">
        <f>AC330-AB330</f>
        <v>#REF!</v>
      </c>
      <c r="AK330" s="211" t="e">
        <f>AC330/AB330</f>
        <v>#REF!</v>
      </c>
      <c r="AL330" s="162" t="e">
        <f>AL166+AL167+AL296</f>
        <v>#REF!</v>
      </c>
      <c r="AM330" s="162" t="e">
        <f>AM166+AM167+AM263+AM296</f>
        <v>#REF!</v>
      </c>
      <c r="AN330" s="162" t="e">
        <f t="shared" ref="AN330:AS330" si="176">AN166+AN167+AN296</f>
        <v>#REF!</v>
      </c>
      <c r="AO330" s="162" t="e">
        <f t="shared" si="176"/>
        <v>#REF!</v>
      </c>
      <c r="AP330" s="162" t="e">
        <f t="shared" si="176"/>
        <v>#REF!</v>
      </c>
      <c r="AQ330" s="162" t="e">
        <f t="shared" si="176"/>
        <v>#REF!</v>
      </c>
      <c r="AR330" s="162" t="e">
        <f t="shared" si="176"/>
        <v>#REF!</v>
      </c>
      <c r="AS330" s="162" t="e">
        <f t="shared" si="176"/>
        <v>#REF!</v>
      </c>
      <c r="AT330" s="162" t="e">
        <f>AT166</f>
        <v>#REF!</v>
      </c>
      <c r="AU330" s="162">
        <f>AU263</f>
        <v>0</v>
      </c>
      <c r="AV330" s="209" t="e">
        <f>AO330-AN330</f>
        <v>#REF!</v>
      </c>
      <c r="AW330" s="211" t="e">
        <f>AO330/AN330</f>
        <v>#REF!</v>
      </c>
      <c r="AX330" s="117">
        <f>AX166+AX167+AX296</f>
        <v>23130.595874999999</v>
      </c>
      <c r="AY330" s="162">
        <f>AY166+AY167+AY263+AY296</f>
        <v>38605.360999999983</v>
      </c>
      <c r="AZ330" s="343" t="e">
        <f>AZ166+AZ167+AZ296</f>
        <v>#REF!</v>
      </c>
      <c r="BA330" s="344">
        <f t="shared" ref="BA330:BH330" si="177">SUM(BA166,BA167,BA263,BA296)</f>
        <v>18883.160000000003</v>
      </c>
      <c r="BB330" s="344">
        <f t="shared" si="177"/>
        <v>63.75</v>
      </c>
      <c r="BC330" s="344">
        <f t="shared" si="177"/>
        <v>10527.135499999991</v>
      </c>
      <c r="BD330" s="344">
        <f t="shared" si="177"/>
        <v>0</v>
      </c>
      <c r="BE330" s="345">
        <f t="shared" si="177"/>
        <v>2469.2799999999997</v>
      </c>
      <c r="BF330" s="343">
        <f t="shared" si="177"/>
        <v>2090.9560900000001</v>
      </c>
      <c r="BG330" s="344">
        <f t="shared" si="177"/>
        <v>1618.0690500000001</v>
      </c>
      <c r="BH330" s="344">
        <f t="shared" si="177"/>
        <v>-247.29414</v>
      </c>
      <c r="BI330" s="345">
        <f>SUM(BI296)</f>
        <v>0</v>
      </c>
      <c r="BJ330" s="288" t="e">
        <f t="shared" si="173"/>
        <v>#REF!</v>
      </c>
      <c r="BK330" s="515" t="e">
        <f>BA330/AZ330</f>
        <v>#REF!</v>
      </c>
      <c r="BL330" s="666"/>
      <c r="BM330" s="516" t="e">
        <f>BM166+BM167+BM263+BM296</f>
        <v>#REF!</v>
      </c>
      <c r="BN330" s="122"/>
      <c r="BO330" s="409"/>
      <c r="BP330" s="448"/>
      <c r="BQ330" s="516"/>
      <c r="BR330" s="517"/>
      <c r="BS330" s="518"/>
      <c r="BT330" s="448"/>
      <c r="BU330" s="516"/>
      <c r="BV330" s="517"/>
      <c r="BW330" s="518"/>
      <c r="BX330" s="667" t="e">
        <f>BX166+BX167+BX296</f>
        <v>#REF!</v>
      </c>
      <c r="BY330" s="449">
        <f t="shared" ref="BY330:BY340" si="178">F330</f>
        <v>45643.427090000005</v>
      </c>
      <c r="BZ330" s="209" t="e">
        <f t="shared" ref="BZ330:BZ335" si="179">M330+BM330+BQ330+BU330</f>
        <v>#REF!</v>
      </c>
      <c r="CA330" s="516" t="e">
        <f t="shared" ref="CA330:CA340" si="180">BZ330-BY330</f>
        <v>#REF!</v>
      </c>
      <c r="CB330" s="515" t="e">
        <f t="shared" ref="CB330:CB340" si="181">BZ330/BY330</f>
        <v>#REF!</v>
      </c>
      <c r="CC330" s="444" t="e">
        <f t="shared" si="174"/>
        <v>#REF!</v>
      </c>
      <c r="CD330" s="668" t="e">
        <f>CD166+CD167+CD296</f>
        <v>#REF!</v>
      </c>
      <c r="CE330" s="344" t="e">
        <f>CE166+CE167+CE263+CE296</f>
        <v>#REF!</v>
      </c>
      <c r="CF330" s="519">
        <f>CF263</f>
        <v>627.39329999999995</v>
      </c>
      <c r="CG330" s="450"/>
      <c r="CH330" s="450"/>
      <c r="CI330" s="450"/>
      <c r="CJ330" s="450"/>
      <c r="CK330" s="450"/>
      <c r="CL330" s="450"/>
      <c r="CM330" s="451"/>
      <c r="CN330" s="451"/>
      <c r="CO330" s="451"/>
      <c r="CP330" s="451"/>
      <c r="CQ330" s="451"/>
      <c r="CR330" s="451"/>
      <c r="CS330" s="451"/>
      <c r="CT330" s="451"/>
      <c r="CU330" s="451"/>
      <c r="CV330" s="451"/>
      <c r="CW330" s="451"/>
      <c r="CX330" s="451"/>
      <c r="CY330" s="451"/>
      <c r="CZ330" s="451"/>
      <c r="DA330" s="162" t="e">
        <f>DA166+DA167+DA263+DA296</f>
        <v>#REF!</v>
      </c>
      <c r="DB330" s="162">
        <f>DB166+DB167+DB263+DB296</f>
        <v>47094.463710000004</v>
      </c>
      <c r="DC330" s="162">
        <f>SUM(DC166,DC167,DC296)</f>
        <v>45021.787749999996</v>
      </c>
      <c r="DD330" s="162">
        <f>SUM(DD166,DD167,DD296)</f>
        <v>40745.844749999997</v>
      </c>
      <c r="DE330" s="162">
        <f>SUM(DE166,DE167,DE296)</f>
        <v>45975.347709999995</v>
      </c>
      <c r="DF330" s="162">
        <f>SUM(DF166,DF167,DF296)</f>
        <v>22637.69298</v>
      </c>
      <c r="DG330" s="162">
        <f>SUM(DG166,DG167,DG296)</f>
        <v>23337.646965</v>
      </c>
      <c r="DI330" s="826"/>
      <c r="DJ330" s="788"/>
    </row>
    <row r="331" spans="1:114" s="783" customFormat="1">
      <c r="A331" s="165"/>
      <c r="B331" s="316" t="s">
        <v>188</v>
      </c>
      <c r="C331" s="853" t="s">
        <v>54</v>
      </c>
      <c r="D331" s="347">
        <f t="shared" ref="D331:I331" si="182">D28-D330</f>
        <v>2967.6784200000111</v>
      </c>
      <c r="E331" s="347">
        <f t="shared" si="182"/>
        <v>2146.9184199999872</v>
      </c>
      <c r="F331" s="347">
        <f t="shared" si="182"/>
        <v>2195.9629099999947</v>
      </c>
      <c r="G331" s="347">
        <f t="shared" si="182"/>
        <v>2195.9582500000033</v>
      </c>
      <c r="H331" s="348" t="e">
        <f t="shared" si="182"/>
        <v>#REF!</v>
      </c>
      <c r="I331" s="348" t="e">
        <f t="shared" si="182"/>
        <v>#REF!</v>
      </c>
      <c r="J331" s="348"/>
      <c r="K331" s="348"/>
      <c r="L331" s="348"/>
      <c r="M331" s="348" t="e">
        <f>M28-M330</f>
        <v>#REF!</v>
      </c>
      <c r="N331" s="348"/>
      <c r="O331" s="348">
        <f>O28-O330</f>
        <v>240.30332599999997</v>
      </c>
      <c r="P331" s="348"/>
      <c r="Q331" s="348"/>
      <c r="R331" s="348"/>
      <c r="S331" s="348">
        <f>S28-S330</f>
        <v>-824.96444899999995</v>
      </c>
      <c r="T331" s="348"/>
      <c r="U331" s="348" t="e">
        <f>U28-U330</f>
        <v>#REF!</v>
      </c>
      <c r="V331" s="348" t="e">
        <f>V28-V330</f>
        <v>#REF!</v>
      </c>
      <c r="W331" s="348">
        <f>W28-W330</f>
        <v>-15.110000000000014</v>
      </c>
      <c r="X331" s="349"/>
      <c r="Y331" s="350"/>
      <c r="Z331" s="348"/>
      <c r="AA331" s="348" t="e">
        <f>AA28-AA330</f>
        <v>#REF!</v>
      </c>
      <c r="AB331" s="348"/>
      <c r="AC331" s="348" t="e">
        <f>AC28-AC330</f>
        <v>#REF!</v>
      </c>
      <c r="AD331" s="348"/>
      <c r="AE331" s="348" t="e">
        <f>AE28-AE330</f>
        <v>#REF!</v>
      </c>
      <c r="AF331" s="348"/>
      <c r="AG331" s="348" t="e">
        <f>AG28-AG330</f>
        <v>#REF!</v>
      </c>
      <c r="AH331" s="348" t="e">
        <f>AH28-AH330</f>
        <v>#REF!</v>
      </c>
      <c r="AI331" s="348">
        <f>AI28-AI330</f>
        <v>0</v>
      </c>
      <c r="AJ331" s="349"/>
      <c r="AK331" s="351"/>
      <c r="AL331" s="348"/>
      <c r="AM331" s="348" t="e">
        <f>AM28-AM330</f>
        <v>#REF!</v>
      </c>
      <c r="AN331" s="348"/>
      <c r="AO331" s="348" t="e">
        <f>AO28-AO330</f>
        <v>#REF!</v>
      </c>
      <c r="AP331" s="348"/>
      <c r="AQ331" s="348" t="e">
        <f>AQ28-AQ330</f>
        <v>#REF!</v>
      </c>
      <c r="AR331" s="348"/>
      <c r="AS331" s="348" t="e">
        <f>AS28-AS330</f>
        <v>#REF!</v>
      </c>
      <c r="AT331" s="348" t="e">
        <f>AT28-AT330</f>
        <v>#REF!</v>
      </c>
      <c r="AU331" s="348">
        <f>AU28-AU330</f>
        <v>0</v>
      </c>
      <c r="AV331" s="349"/>
      <c r="AW331" s="351"/>
      <c r="AX331" s="94">
        <f t="shared" ref="AX331:BI331" si="183">AX28-AX330</f>
        <v>789.09912500000064</v>
      </c>
      <c r="AY331" s="94">
        <f t="shared" si="183"/>
        <v>269.78900000001886</v>
      </c>
      <c r="AZ331" s="352" t="e">
        <f t="shared" si="183"/>
        <v>#REF!</v>
      </c>
      <c r="BA331" s="353">
        <f t="shared" si="183"/>
        <v>4054.3699999999953</v>
      </c>
      <c r="BB331" s="353">
        <f t="shared" si="183"/>
        <v>3128.75</v>
      </c>
      <c r="BC331" s="353">
        <f t="shared" si="183"/>
        <v>2831.5245000000086</v>
      </c>
      <c r="BD331" s="353">
        <f t="shared" si="183"/>
        <v>0</v>
      </c>
      <c r="BE331" s="354">
        <f t="shared" si="183"/>
        <v>109.68000000000029</v>
      </c>
      <c r="BF331" s="352">
        <f t="shared" si="183"/>
        <v>-2090.9560900000001</v>
      </c>
      <c r="BG331" s="353">
        <f t="shared" si="183"/>
        <v>-1618.0690500000001</v>
      </c>
      <c r="BH331" s="353">
        <f t="shared" si="183"/>
        <v>247.29414</v>
      </c>
      <c r="BI331" s="354">
        <f t="shared" si="183"/>
        <v>0</v>
      </c>
      <c r="BJ331" s="417"/>
      <c r="BK331" s="574"/>
      <c r="BL331" s="669"/>
      <c r="BM331" s="568" t="e">
        <f>BM28-BM330</f>
        <v>#REF!</v>
      </c>
      <c r="BN331" s="103"/>
      <c r="BO331" s="455"/>
      <c r="BP331" s="567"/>
      <c r="BQ331" s="568"/>
      <c r="BR331" s="670"/>
      <c r="BS331" s="570"/>
      <c r="BT331" s="567"/>
      <c r="BU331" s="568"/>
      <c r="BV331" s="670"/>
      <c r="BW331" s="570"/>
      <c r="BX331" s="653" t="e">
        <f>BX28+#REF!-BX330-#REF!</f>
        <v>#REF!</v>
      </c>
      <c r="BY331" s="571">
        <f t="shared" si="178"/>
        <v>2195.9629099999947</v>
      </c>
      <c r="BZ331" s="572" t="e">
        <f t="shared" si="179"/>
        <v>#REF!</v>
      </c>
      <c r="CA331" s="568" t="e">
        <f t="shared" si="180"/>
        <v>#REF!</v>
      </c>
      <c r="CB331" s="574" t="e">
        <f t="shared" si="181"/>
        <v>#REF!</v>
      </c>
      <c r="CC331" s="93" t="e">
        <f t="shared" si="174"/>
        <v>#REF!</v>
      </c>
      <c r="CD331" s="347" t="e">
        <f>CD28-CD330</f>
        <v>#REF!</v>
      </c>
      <c r="CE331" s="353" t="e">
        <f>CE28-CE330</f>
        <v>#REF!</v>
      </c>
      <c r="CF331" s="575">
        <f>CF28-CF330</f>
        <v>1749.3667000000003</v>
      </c>
      <c r="CG331" s="74"/>
      <c r="CH331" s="74"/>
      <c r="CI331" s="74"/>
      <c r="CJ331" s="74"/>
      <c r="CK331" s="74"/>
      <c r="CL331" s="74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94" t="e">
        <f t="shared" ref="DA331:DG331" si="184">DA28-DA330</f>
        <v>#REF!</v>
      </c>
      <c r="DB331" s="94">
        <f t="shared" si="184"/>
        <v>3098.9262899999958</v>
      </c>
      <c r="DC331" s="347">
        <f t="shared" si="184"/>
        <v>3256.6122500000129</v>
      </c>
      <c r="DD331" s="347">
        <f t="shared" si="184"/>
        <v>1378.445249999997</v>
      </c>
      <c r="DE331" s="776">
        <f t="shared" si="184"/>
        <v>3034.9322900000043</v>
      </c>
      <c r="DF331" s="776">
        <f t="shared" si="184"/>
        <v>1501.5070200000046</v>
      </c>
      <c r="DG331" s="776">
        <f t="shared" si="184"/>
        <v>1533.4330350000018</v>
      </c>
      <c r="DI331" s="826"/>
      <c r="DJ331" s="788"/>
    </row>
    <row r="332" spans="1:114" s="783" customFormat="1" ht="24">
      <c r="A332" s="177"/>
      <c r="B332" s="48" t="s">
        <v>299</v>
      </c>
      <c r="C332" s="854" t="s">
        <v>54</v>
      </c>
      <c r="D332" s="77">
        <f>SUM(D330,D331)</f>
        <v>45145.58</v>
      </c>
      <c r="E332" s="77">
        <f>SUM(E330,E331)</f>
        <v>46973</v>
      </c>
      <c r="F332" s="77">
        <f>SUM(F330,F331)</f>
        <v>47839.39</v>
      </c>
      <c r="G332" s="77">
        <f>SUM(G330,G331)</f>
        <v>47839.39</v>
      </c>
      <c r="H332" s="53" t="e">
        <f>H330</f>
        <v>#REF!</v>
      </c>
      <c r="I332" s="53" t="e">
        <f>I330</f>
        <v>#REF!</v>
      </c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1"/>
      <c r="Y332" s="55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1"/>
      <c r="AK332" s="56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1"/>
      <c r="AW332" s="56"/>
      <c r="AX332" s="77">
        <f t="shared" ref="AX332:BE332" si="185">AX330</f>
        <v>23130.595874999999</v>
      </c>
      <c r="AY332" s="77">
        <f>SUM(AY330,AY331)</f>
        <v>38875.15</v>
      </c>
      <c r="AZ332" s="89" t="e">
        <f t="shared" si="185"/>
        <v>#REF!</v>
      </c>
      <c r="BA332" s="50">
        <f>BA330</f>
        <v>18883.160000000003</v>
      </c>
      <c r="BB332" s="50">
        <f>SUM(BB330,BB331)</f>
        <v>3192.5</v>
      </c>
      <c r="BC332" s="50">
        <f>BC330</f>
        <v>10527.135499999991</v>
      </c>
      <c r="BD332" s="50">
        <f t="shared" si="185"/>
        <v>0</v>
      </c>
      <c r="BE332" s="39">
        <f t="shared" si="185"/>
        <v>2469.2799999999997</v>
      </c>
      <c r="BF332" s="89">
        <f>BF330</f>
        <v>2090.9560900000001</v>
      </c>
      <c r="BG332" s="50">
        <f>BG330</f>
        <v>1618.0690500000001</v>
      </c>
      <c r="BH332" s="50">
        <f>BH330</f>
        <v>-247.29414</v>
      </c>
      <c r="BI332" s="39">
        <f>BI330</f>
        <v>0</v>
      </c>
      <c r="BJ332" s="426"/>
      <c r="BK332" s="71"/>
      <c r="BL332" s="671"/>
      <c r="BM332" s="61"/>
      <c r="BN332" s="62"/>
      <c r="BO332" s="470"/>
      <c r="BP332" s="64"/>
      <c r="BQ332" s="61"/>
      <c r="BR332" s="479"/>
      <c r="BS332" s="66"/>
      <c r="BT332" s="64"/>
      <c r="BU332" s="61"/>
      <c r="BV332" s="479"/>
      <c r="BW332" s="66"/>
      <c r="BX332" s="67" t="e">
        <f>BX330</f>
        <v>#REF!</v>
      </c>
      <c r="BY332" s="68">
        <f t="shared" si="178"/>
        <v>47839.39</v>
      </c>
      <c r="BZ332" s="69">
        <f t="shared" si="179"/>
        <v>0</v>
      </c>
      <c r="CA332" s="61">
        <f t="shared" si="180"/>
        <v>-47839.39</v>
      </c>
      <c r="CB332" s="71">
        <f t="shared" si="181"/>
        <v>0</v>
      </c>
      <c r="CC332" s="72">
        <f t="shared" si="174"/>
        <v>-46973</v>
      </c>
      <c r="CD332" s="58" t="e">
        <f>CD330</f>
        <v>#REF!</v>
      </c>
      <c r="CE332" s="50" t="e">
        <f>CE330</f>
        <v>#REF!</v>
      </c>
      <c r="CF332" s="73">
        <f>CF330</f>
        <v>627.39329999999995</v>
      </c>
      <c r="CG332" s="74"/>
      <c r="CH332" s="74"/>
      <c r="CI332" s="74"/>
      <c r="CJ332" s="74"/>
      <c r="CK332" s="74"/>
      <c r="CL332" s="74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7" t="e">
        <f t="shared" ref="DA332:DG332" si="186">SUM(DA330,DA331)</f>
        <v>#REF!</v>
      </c>
      <c r="DB332" s="77">
        <f t="shared" si="186"/>
        <v>50193.39</v>
      </c>
      <c r="DC332" s="77">
        <f t="shared" si="186"/>
        <v>48278.400000000009</v>
      </c>
      <c r="DD332" s="77">
        <f t="shared" si="186"/>
        <v>42124.289999999994</v>
      </c>
      <c r="DE332" s="77">
        <f t="shared" si="186"/>
        <v>49010.28</v>
      </c>
      <c r="DF332" s="77">
        <f t="shared" si="186"/>
        <v>24139.200000000004</v>
      </c>
      <c r="DG332" s="77">
        <f t="shared" si="186"/>
        <v>24871.08</v>
      </c>
      <c r="DI332" s="826"/>
      <c r="DJ332" s="788"/>
    </row>
    <row r="333" spans="1:114" s="783" customFormat="1">
      <c r="A333" s="177"/>
      <c r="B333" s="48" t="s">
        <v>344</v>
      </c>
      <c r="C333" s="854" t="s">
        <v>54</v>
      </c>
      <c r="D333" s="77">
        <v>1354.37</v>
      </c>
      <c r="E333" s="77">
        <v>1338.73</v>
      </c>
      <c r="F333" s="77">
        <v>1387.77</v>
      </c>
      <c r="G333" s="77">
        <v>1387.77</v>
      </c>
      <c r="H333" s="53">
        <v>592.11</v>
      </c>
      <c r="I333" s="53">
        <v>383.1</v>
      </c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1"/>
      <c r="Y333" s="55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1"/>
      <c r="AK333" s="56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1"/>
      <c r="AW333" s="56"/>
      <c r="AX333" s="77">
        <f>G333/2</f>
        <v>693.88499999999999</v>
      </c>
      <c r="AY333" s="77">
        <v>1156.8</v>
      </c>
      <c r="AZ333" s="89"/>
      <c r="BA333" s="50">
        <v>661.61</v>
      </c>
      <c r="BB333" s="50"/>
      <c r="BC333" s="50">
        <v>280.45</v>
      </c>
      <c r="BD333" s="50"/>
      <c r="BE333" s="39">
        <v>58.72</v>
      </c>
      <c r="BF333" s="89">
        <v>89.2</v>
      </c>
      <c r="BG333" s="50">
        <v>43.12</v>
      </c>
      <c r="BH333" s="50"/>
      <c r="BI333" s="39"/>
      <c r="BJ333" s="426"/>
      <c r="BK333" s="71"/>
      <c r="BL333" s="671"/>
      <c r="BM333" s="61"/>
      <c r="BN333" s="62"/>
      <c r="BO333" s="470"/>
      <c r="BP333" s="64"/>
      <c r="BQ333" s="61"/>
      <c r="BR333" s="479"/>
      <c r="BS333" s="66"/>
      <c r="BT333" s="64"/>
      <c r="BU333" s="61"/>
      <c r="BV333" s="479"/>
      <c r="BW333" s="66"/>
      <c r="BX333" s="67" t="e">
        <f>(BX28+#REF!)*0.06/2</f>
        <v>#REF!</v>
      </c>
      <c r="BY333" s="68">
        <f t="shared" si="178"/>
        <v>1387.77</v>
      </c>
      <c r="BZ333" s="69">
        <f t="shared" si="179"/>
        <v>0</v>
      </c>
      <c r="CA333" s="61">
        <f t="shared" si="180"/>
        <v>-1387.77</v>
      </c>
      <c r="CB333" s="71">
        <f t="shared" si="181"/>
        <v>0</v>
      </c>
      <c r="CC333" s="72">
        <f t="shared" si="174"/>
        <v>-1338.73</v>
      </c>
      <c r="CD333" s="58">
        <f>BZ333-CE333</f>
        <v>-60.82</v>
      </c>
      <c r="CE333" s="50">
        <v>60.82</v>
      </c>
      <c r="CF333" s="73"/>
      <c r="CG333" s="74"/>
      <c r="CH333" s="74"/>
      <c r="CI333" s="74"/>
      <c r="CJ333" s="74"/>
      <c r="CK333" s="74"/>
      <c r="CL333" s="74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7">
        <v>1338.73</v>
      </c>
      <c r="DB333" s="77">
        <v>1505.8</v>
      </c>
      <c r="DC333" s="77">
        <f>(DC28*6/100)/2</f>
        <v>1448.3520000000001</v>
      </c>
      <c r="DD333" s="77">
        <f>(DD28*6/100)/2</f>
        <v>1263.7286999999999</v>
      </c>
      <c r="DE333" s="77">
        <f>(DE28*6/100)/2</f>
        <v>1470.3083999999999</v>
      </c>
      <c r="DF333" s="77">
        <f>(DF28*6/100)/2</f>
        <v>724.17600000000004</v>
      </c>
      <c r="DG333" s="77">
        <f>(DG28*6/100)/2</f>
        <v>746.13240000000008</v>
      </c>
      <c r="DI333" s="826"/>
      <c r="DJ333" s="788"/>
    </row>
    <row r="334" spans="1:114" s="783" customFormat="1" hidden="1">
      <c r="A334" s="194"/>
      <c r="B334" s="328" t="s">
        <v>74</v>
      </c>
      <c r="C334" s="855" t="s">
        <v>54</v>
      </c>
      <c r="D334" s="76"/>
      <c r="E334" s="76"/>
      <c r="F334" s="76"/>
      <c r="G334" s="76"/>
      <c r="H334" s="330"/>
      <c r="I334" s="330"/>
      <c r="J334" s="330"/>
      <c r="K334" s="330"/>
      <c r="L334" s="330"/>
      <c r="M334" s="330"/>
      <c r="N334" s="330"/>
      <c r="O334" s="330"/>
      <c r="P334" s="330"/>
      <c r="Q334" s="330"/>
      <c r="R334" s="330"/>
      <c r="S334" s="330"/>
      <c r="T334" s="330"/>
      <c r="U334" s="330"/>
      <c r="V334" s="330"/>
      <c r="W334" s="330"/>
      <c r="X334" s="196"/>
      <c r="Y334" s="197"/>
      <c r="Z334" s="330"/>
      <c r="AA334" s="330"/>
      <c r="AB334" s="330"/>
      <c r="AC334" s="330"/>
      <c r="AD334" s="330"/>
      <c r="AE334" s="330"/>
      <c r="AF334" s="330"/>
      <c r="AG334" s="330"/>
      <c r="AH334" s="330"/>
      <c r="AI334" s="330"/>
      <c r="AJ334" s="196"/>
      <c r="AK334" s="198"/>
      <c r="AL334" s="330"/>
      <c r="AM334" s="330"/>
      <c r="AN334" s="330"/>
      <c r="AO334" s="330"/>
      <c r="AP334" s="330"/>
      <c r="AQ334" s="330"/>
      <c r="AR334" s="330"/>
      <c r="AS334" s="330"/>
      <c r="AT334" s="330"/>
      <c r="AU334" s="330"/>
      <c r="AV334" s="196"/>
      <c r="AW334" s="198"/>
      <c r="AX334" s="95"/>
      <c r="AY334" s="95"/>
      <c r="AZ334" s="331"/>
      <c r="BA334" s="332"/>
      <c r="BB334" s="332"/>
      <c r="BC334" s="332"/>
      <c r="BD334" s="332"/>
      <c r="BE334" s="333"/>
      <c r="BF334" s="331"/>
      <c r="BG334" s="332"/>
      <c r="BH334" s="332">
        <f>AY334</f>
        <v>0</v>
      </c>
      <c r="BI334" s="333"/>
      <c r="BJ334" s="435"/>
      <c r="BK334" s="491"/>
      <c r="BL334" s="672"/>
      <c r="BM334" s="483"/>
      <c r="BN334" s="150"/>
      <c r="BO334" s="484"/>
      <c r="BP334" s="485"/>
      <c r="BQ334" s="483"/>
      <c r="BR334" s="673"/>
      <c r="BS334" s="487"/>
      <c r="BT334" s="485"/>
      <c r="BU334" s="483"/>
      <c r="BV334" s="673"/>
      <c r="BW334" s="487"/>
      <c r="BX334" s="660"/>
      <c r="BY334" s="488">
        <f t="shared" si="178"/>
        <v>0</v>
      </c>
      <c r="BZ334" s="489">
        <f>M334+BM334+BQ334+BU334</f>
        <v>0</v>
      </c>
      <c r="CA334" s="483">
        <f t="shared" si="180"/>
        <v>0</v>
      </c>
      <c r="CB334" s="491" t="e">
        <f t="shared" si="181"/>
        <v>#DIV/0!</v>
      </c>
      <c r="CC334" s="246">
        <f t="shared" si="174"/>
        <v>0</v>
      </c>
      <c r="CD334" s="661"/>
      <c r="CE334" s="332"/>
      <c r="CF334" s="492">
        <v>32.83</v>
      </c>
      <c r="CG334" s="74"/>
      <c r="CH334" s="74"/>
      <c r="CI334" s="74"/>
      <c r="CJ334" s="74"/>
      <c r="CK334" s="74"/>
      <c r="CL334" s="74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95"/>
      <c r="DB334" s="95"/>
      <c r="DC334" s="76"/>
      <c r="DD334" s="76"/>
      <c r="DE334" s="76"/>
      <c r="DF334" s="76"/>
      <c r="DG334" s="53"/>
      <c r="DI334" s="826"/>
      <c r="DJ334" s="788"/>
    </row>
    <row r="335" spans="1:114" s="783" customFormat="1" ht="24">
      <c r="A335" s="208" t="s">
        <v>241</v>
      </c>
      <c r="B335" s="153" t="s">
        <v>300</v>
      </c>
      <c r="C335" s="833" t="s">
        <v>54</v>
      </c>
      <c r="D335" s="162">
        <f>D332</f>
        <v>45145.58</v>
      </c>
      <c r="E335" s="162">
        <f>E332</f>
        <v>46973</v>
      </c>
      <c r="F335" s="162">
        <f>F332</f>
        <v>47839.39</v>
      </c>
      <c r="G335" s="162">
        <f>G332</f>
        <v>47839.39</v>
      </c>
      <c r="H335" s="162" t="e">
        <f>H332+H333</f>
        <v>#REF!</v>
      </c>
      <c r="I335" s="162" t="e">
        <f>I332+I333</f>
        <v>#REF!</v>
      </c>
      <c r="J335" s="162"/>
      <c r="K335" s="162"/>
      <c r="L335" s="162"/>
      <c r="M335" s="162" t="e">
        <f>M330+M333</f>
        <v>#REF!</v>
      </c>
      <c r="N335" s="162"/>
      <c r="O335" s="162">
        <f>O330</f>
        <v>1287.94</v>
      </c>
      <c r="P335" s="162"/>
      <c r="Q335" s="162"/>
      <c r="R335" s="162"/>
      <c r="S335" s="162"/>
      <c r="T335" s="162"/>
      <c r="U335" s="162"/>
      <c r="V335" s="162"/>
      <c r="W335" s="162"/>
      <c r="X335" s="209"/>
      <c r="Y335" s="210"/>
      <c r="Z335" s="162"/>
      <c r="AA335" s="162" t="e">
        <f>AA330+AA333</f>
        <v>#REF!</v>
      </c>
      <c r="AB335" s="162"/>
      <c r="AC335" s="162" t="e">
        <f>AC330</f>
        <v>#REF!</v>
      </c>
      <c r="AD335" s="162"/>
      <c r="AE335" s="162"/>
      <c r="AF335" s="162"/>
      <c r="AG335" s="162"/>
      <c r="AH335" s="162"/>
      <c r="AI335" s="162"/>
      <c r="AJ335" s="209"/>
      <c r="AK335" s="211"/>
      <c r="AL335" s="162"/>
      <c r="AM335" s="162" t="e">
        <f>AM330+AM333</f>
        <v>#REF!</v>
      </c>
      <c r="AN335" s="162"/>
      <c r="AO335" s="162" t="e">
        <f>AO330</f>
        <v>#REF!</v>
      </c>
      <c r="AP335" s="162"/>
      <c r="AQ335" s="162"/>
      <c r="AR335" s="162"/>
      <c r="AS335" s="162"/>
      <c r="AT335" s="162"/>
      <c r="AU335" s="162"/>
      <c r="AV335" s="209"/>
      <c r="AW335" s="211"/>
      <c r="AX335" s="162">
        <f>AX332+AX333</f>
        <v>23824.480874999997</v>
      </c>
      <c r="AY335" s="162">
        <f>AY332</f>
        <v>38875.15</v>
      </c>
      <c r="AZ335" s="343" t="e">
        <f>AZ332+AZ333</f>
        <v>#REF!</v>
      </c>
      <c r="BA335" s="344">
        <f>BA332+BA333</f>
        <v>19544.770000000004</v>
      </c>
      <c r="BB335" s="344">
        <f>BB332+BB333</f>
        <v>3192.5</v>
      </c>
      <c r="BC335" s="344">
        <f>BC332+BC333</f>
        <v>10807.585499999992</v>
      </c>
      <c r="BD335" s="344">
        <f>BD332</f>
        <v>0</v>
      </c>
      <c r="BE335" s="345">
        <f>BE332+BE333</f>
        <v>2527.9999999999995</v>
      </c>
      <c r="BF335" s="343">
        <f>BF332+BF333</f>
        <v>2180.1560899999999</v>
      </c>
      <c r="BG335" s="344">
        <f>BG332+BG333</f>
        <v>1661.18905</v>
      </c>
      <c r="BH335" s="344">
        <f>BH332+BH334</f>
        <v>-247.29414</v>
      </c>
      <c r="BI335" s="345">
        <f>BI332</f>
        <v>0</v>
      </c>
      <c r="BJ335" s="288"/>
      <c r="BK335" s="515"/>
      <c r="BL335" s="666">
        <f>BL332+BL333</f>
        <v>0</v>
      </c>
      <c r="BM335" s="516" t="e">
        <f>BM330+BM333</f>
        <v>#REF!</v>
      </c>
      <c r="BN335" s="122" t="e">
        <f>BM335-BL335</f>
        <v>#REF!</v>
      </c>
      <c r="BO335" s="409" t="e">
        <f>BM335/BL335</f>
        <v>#REF!</v>
      </c>
      <c r="BP335" s="448"/>
      <c r="BQ335" s="516"/>
      <c r="BR335" s="517"/>
      <c r="BS335" s="518"/>
      <c r="BT335" s="448"/>
      <c r="BU335" s="516"/>
      <c r="BV335" s="517"/>
      <c r="BW335" s="518"/>
      <c r="BX335" s="667" t="e">
        <f>BX332+BX333</f>
        <v>#REF!</v>
      </c>
      <c r="BY335" s="449">
        <f t="shared" si="178"/>
        <v>47839.39</v>
      </c>
      <c r="BZ335" s="209" t="e">
        <f t="shared" si="179"/>
        <v>#REF!</v>
      </c>
      <c r="CA335" s="516" t="e">
        <f t="shared" si="180"/>
        <v>#REF!</v>
      </c>
      <c r="CB335" s="515" t="e">
        <f t="shared" si="181"/>
        <v>#REF!</v>
      </c>
      <c r="CC335" s="444" t="e">
        <f t="shared" si="174"/>
        <v>#REF!</v>
      </c>
      <c r="CD335" s="668" t="e">
        <f>CD332+CD333</f>
        <v>#REF!</v>
      </c>
      <c r="CE335" s="344" t="e">
        <f>CE332+CE333</f>
        <v>#REF!</v>
      </c>
      <c r="CF335" s="519">
        <f>CF332+CF334</f>
        <v>660.22329999999999</v>
      </c>
      <c r="CG335" s="450"/>
      <c r="CH335" s="450"/>
      <c r="CI335" s="450"/>
      <c r="CJ335" s="450"/>
      <c r="CK335" s="450"/>
      <c r="CL335" s="450"/>
      <c r="CM335" s="451"/>
      <c r="CN335" s="451"/>
      <c r="CO335" s="451"/>
      <c r="CP335" s="451"/>
      <c r="CQ335" s="451"/>
      <c r="CR335" s="451"/>
      <c r="CS335" s="451"/>
      <c r="CT335" s="451"/>
      <c r="CU335" s="451"/>
      <c r="CV335" s="451"/>
      <c r="CW335" s="451"/>
      <c r="CX335" s="451"/>
      <c r="CY335" s="451"/>
      <c r="CZ335" s="451"/>
      <c r="DA335" s="162" t="e">
        <f t="shared" ref="DA335:DG335" si="187">DA332</f>
        <v>#REF!</v>
      </c>
      <c r="DB335" s="162">
        <f t="shared" si="187"/>
        <v>50193.39</v>
      </c>
      <c r="DC335" s="162">
        <f t="shared" si="187"/>
        <v>48278.400000000009</v>
      </c>
      <c r="DD335" s="162">
        <f t="shared" si="187"/>
        <v>42124.289999999994</v>
      </c>
      <c r="DE335" s="162">
        <f t="shared" si="187"/>
        <v>49010.28</v>
      </c>
      <c r="DF335" s="162">
        <f t="shared" si="187"/>
        <v>24139.200000000004</v>
      </c>
      <c r="DG335" s="162">
        <f t="shared" si="187"/>
        <v>24871.08</v>
      </c>
      <c r="DI335" s="826"/>
      <c r="DJ335" s="788"/>
    </row>
    <row r="336" spans="1:114" s="783" customFormat="1">
      <c r="A336" s="247"/>
      <c r="B336" s="778" t="s">
        <v>292</v>
      </c>
      <c r="C336" s="844" t="s">
        <v>83</v>
      </c>
      <c r="D336" s="751">
        <v>396</v>
      </c>
      <c r="E336" s="751">
        <f>E335/E20</f>
        <v>428</v>
      </c>
      <c r="F336" s="751">
        <f>F335/F20</f>
        <v>428.0163729086517</v>
      </c>
      <c r="G336" s="751">
        <f>G335/G20</f>
        <v>428.0163729086517</v>
      </c>
      <c r="H336" s="752" t="e">
        <f>(H335+H340)/H21</f>
        <v>#REF!</v>
      </c>
      <c r="I336" s="752"/>
      <c r="J336" s="752"/>
      <c r="K336" s="752"/>
      <c r="L336" s="752" t="e">
        <f>L330/L20</f>
        <v>#REF!</v>
      </c>
      <c r="M336" s="752" t="e">
        <f>M335/M20</f>
        <v>#REF!</v>
      </c>
      <c r="N336" s="752"/>
      <c r="O336" s="752" t="e">
        <f>O330/O20</f>
        <v>#REF!</v>
      </c>
      <c r="P336" s="752"/>
      <c r="Q336" s="752"/>
      <c r="R336" s="752"/>
      <c r="S336" s="752"/>
      <c r="T336" s="752"/>
      <c r="U336" s="752"/>
      <c r="V336" s="752"/>
      <c r="W336" s="752"/>
      <c r="X336" s="753"/>
      <c r="Y336" s="754"/>
      <c r="Z336" s="752" t="e">
        <f>Z330/Z20</f>
        <v>#REF!</v>
      </c>
      <c r="AA336" s="752" t="e">
        <f>AA335/AA20</f>
        <v>#REF!</v>
      </c>
      <c r="AB336" s="752"/>
      <c r="AC336" s="752" t="e">
        <f>AC330/AC20</f>
        <v>#REF!</v>
      </c>
      <c r="AD336" s="752"/>
      <c r="AE336" s="752"/>
      <c r="AF336" s="752"/>
      <c r="AG336" s="752"/>
      <c r="AH336" s="752"/>
      <c r="AI336" s="752"/>
      <c r="AJ336" s="753"/>
      <c r="AK336" s="755"/>
      <c r="AL336" s="752" t="e">
        <f>AL330/AL20</f>
        <v>#REF!</v>
      </c>
      <c r="AM336" s="752" t="e">
        <f>AM335/AM20</f>
        <v>#REF!</v>
      </c>
      <c r="AN336" s="752"/>
      <c r="AO336" s="752" t="e">
        <f>AO330/AO20</f>
        <v>#REF!</v>
      </c>
      <c r="AP336" s="752"/>
      <c r="AQ336" s="752"/>
      <c r="AR336" s="752"/>
      <c r="AS336" s="752"/>
      <c r="AT336" s="752"/>
      <c r="AU336" s="752"/>
      <c r="AV336" s="753"/>
      <c r="AW336" s="755"/>
      <c r="AX336" s="756"/>
      <c r="AY336" s="756">
        <f>AY28/AY20</f>
        <v>361.19251138158506</v>
      </c>
      <c r="AZ336" s="757" t="e">
        <f>(AZ335+AZ340)/AZ21</f>
        <v>#REF!</v>
      </c>
      <c r="BA336" s="758">
        <f>(BA335+BA340)/BA20</f>
        <v>325.86347492541552</v>
      </c>
      <c r="BB336" s="758"/>
      <c r="BC336" s="758"/>
      <c r="BD336" s="758">
        <f>BD335/BD20</f>
        <v>0</v>
      </c>
      <c r="BE336" s="759">
        <f>BE335/BE20</f>
        <v>419.23714759535648</v>
      </c>
      <c r="BF336" s="757"/>
      <c r="BG336" s="758"/>
      <c r="BH336" s="758"/>
      <c r="BI336" s="760"/>
      <c r="BJ336" s="417"/>
      <c r="BK336" s="554"/>
      <c r="BL336" s="761"/>
      <c r="BM336" s="587"/>
      <c r="BN336" s="255"/>
      <c r="BO336" s="585"/>
      <c r="BP336" s="586"/>
      <c r="BQ336" s="587"/>
      <c r="BR336" s="762"/>
      <c r="BS336" s="589"/>
      <c r="BT336" s="586"/>
      <c r="BU336" s="587"/>
      <c r="BV336" s="762"/>
      <c r="BW336" s="589"/>
      <c r="BX336" s="763"/>
      <c r="BY336" s="591">
        <f>BY29/BY21</f>
        <v>27.987843137254902</v>
      </c>
      <c r="BZ336" s="592">
        <v>223.78</v>
      </c>
      <c r="CA336" s="587">
        <f t="shared" si="180"/>
        <v>195.79215686274509</v>
      </c>
      <c r="CB336" s="594">
        <f t="shared" si="181"/>
        <v>7.9956143423615291</v>
      </c>
      <c r="CC336" s="22"/>
      <c r="CD336" s="764"/>
      <c r="CE336" s="765"/>
      <c r="CF336" s="597"/>
      <c r="CG336" s="687"/>
      <c r="CH336" s="687"/>
      <c r="CI336" s="687"/>
      <c r="CJ336" s="687"/>
      <c r="CK336" s="687"/>
      <c r="CL336" s="687"/>
      <c r="CM336" s="688"/>
      <c r="CN336" s="688"/>
      <c r="CO336" s="688"/>
      <c r="CP336" s="688"/>
      <c r="CQ336" s="688"/>
      <c r="CR336" s="688"/>
      <c r="CS336" s="688"/>
      <c r="CT336" s="688"/>
      <c r="CU336" s="688"/>
      <c r="CV336" s="688"/>
      <c r="CW336" s="688"/>
      <c r="CX336" s="688"/>
      <c r="CY336" s="688"/>
      <c r="CZ336" s="688"/>
      <c r="DA336" s="756" t="e">
        <f>DA335/DA20</f>
        <v>#REF!</v>
      </c>
      <c r="DB336" s="756">
        <f>DB335/DB20</f>
        <v>428.0156050140701</v>
      </c>
      <c r="DC336" s="751">
        <f>DC335/DC20</f>
        <v>428.00000000000011</v>
      </c>
      <c r="DD336" s="751">
        <v>428</v>
      </c>
      <c r="DE336" s="751">
        <f>DE335/DE20</f>
        <v>428</v>
      </c>
      <c r="DF336" s="751">
        <f>DF335/DF20</f>
        <v>428.00000000000011</v>
      </c>
      <c r="DG336" s="751">
        <f>DG335/DG20</f>
        <v>428.00000000000006</v>
      </c>
      <c r="DI336" s="826"/>
      <c r="DJ336" s="788"/>
    </row>
    <row r="337" spans="1:114" s="783" customFormat="1" ht="12" customHeight="1">
      <c r="A337" s="365"/>
      <c r="B337" s="366" t="s">
        <v>290</v>
      </c>
      <c r="C337" s="840" t="s">
        <v>86</v>
      </c>
      <c r="D337" s="367">
        <v>0.15429999999999999</v>
      </c>
      <c r="E337" s="367">
        <v>0.15429999999999999</v>
      </c>
      <c r="F337" s="367">
        <v>0.15429999999999999</v>
      </c>
      <c r="G337" s="367">
        <v>0.15429999999999999</v>
      </c>
      <c r="H337" s="368">
        <v>0.20799999999999999</v>
      </c>
      <c r="I337" s="369"/>
      <c r="J337" s="369"/>
      <c r="K337" s="369"/>
      <c r="L337" s="369"/>
      <c r="M337" s="369"/>
      <c r="N337" s="369"/>
      <c r="O337" s="368">
        <v>0.20799999999999999</v>
      </c>
      <c r="P337" s="368"/>
      <c r="Q337" s="368"/>
      <c r="R337" s="369"/>
      <c r="S337" s="369"/>
      <c r="T337" s="369"/>
      <c r="U337" s="369"/>
      <c r="V337" s="369"/>
      <c r="W337" s="369"/>
      <c r="X337" s="370"/>
      <c r="Y337" s="371"/>
      <c r="Z337" s="369"/>
      <c r="AA337" s="369"/>
      <c r="AB337" s="369"/>
      <c r="AC337" s="368">
        <v>0.20799999999999999</v>
      </c>
      <c r="AD337" s="369"/>
      <c r="AE337" s="369"/>
      <c r="AF337" s="369"/>
      <c r="AG337" s="369"/>
      <c r="AH337" s="369"/>
      <c r="AI337" s="369"/>
      <c r="AJ337" s="370"/>
      <c r="AK337" s="372"/>
      <c r="AL337" s="369"/>
      <c r="AM337" s="369"/>
      <c r="AN337" s="369"/>
      <c r="AO337" s="368">
        <v>0.20799999999999999</v>
      </c>
      <c r="AP337" s="369"/>
      <c r="AQ337" s="369"/>
      <c r="AR337" s="369"/>
      <c r="AS337" s="369"/>
      <c r="AT337" s="369"/>
      <c r="AU337" s="369"/>
      <c r="AV337" s="370"/>
      <c r="AW337" s="372"/>
      <c r="AX337" s="373"/>
      <c r="AY337" s="367">
        <v>0.18260000000000001</v>
      </c>
      <c r="AZ337" s="374">
        <v>0.20799999999999999</v>
      </c>
      <c r="BA337" s="375">
        <v>0.2354</v>
      </c>
      <c r="BB337" s="376"/>
      <c r="BC337" s="376"/>
      <c r="BD337" s="376"/>
      <c r="BE337" s="377"/>
      <c r="BF337" s="689"/>
      <c r="BG337" s="376"/>
      <c r="BH337" s="376"/>
      <c r="BI337" s="377"/>
      <c r="BJ337" s="426"/>
      <c r="BK337" s="46"/>
      <c r="BL337" s="690"/>
      <c r="BM337" s="691"/>
      <c r="BN337" s="692"/>
      <c r="BO337" s="514"/>
      <c r="BP337" s="693"/>
      <c r="BQ337" s="691"/>
      <c r="BR337" s="694"/>
      <c r="BS337" s="695"/>
      <c r="BT337" s="693"/>
      <c r="BU337" s="691"/>
      <c r="BV337" s="694"/>
      <c r="BW337" s="695"/>
      <c r="BX337" s="696"/>
      <c r="BY337" s="697">
        <v>0.20799999999999999</v>
      </c>
      <c r="BZ337" s="698">
        <v>0.20799999999999999</v>
      </c>
      <c r="CA337" s="691"/>
      <c r="CB337" s="482"/>
      <c r="CC337" s="246"/>
      <c r="CD337" s="699"/>
      <c r="CE337" s="700"/>
      <c r="CF337" s="701"/>
      <c r="CG337" s="702"/>
      <c r="CH337" s="702"/>
      <c r="CI337" s="702"/>
      <c r="CJ337" s="702"/>
      <c r="CK337" s="702"/>
      <c r="CL337" s="702"/>
      <c r="CM337" s="703"/>
      <c r="CN337" s="703"/>
      <c r="CO337" s="703"/>
      <c r="CP337" s="703"/>
      <c r="CQ337" s="703"/>
      <c r="CR337" s="703"/>
      <c r="CS337" s="703"/>
      <c r="CT337" s="703"/>
      <c r="CU337" s="703"/>
      <c r="CV337" s="703"/>
      <c r="CW337" s="703"/>
      <c r="CX337" s="703"/>
      <c r="CY337" s="703"/>
      <c r="CZ337" s="703"/>
      <c r="DA337" s="367">
        <v>0.15429999999999999</v>
      </c>
      <c r="DB337" s="367">
        <v>0.23300000000000001</v>
      </c>
      <c r="DC337" s="367">
        <v>0.16830000000000001</v>
      </c>
      <c r="DD337" s="367">
        <v>0.16830000000000001</v>
      </c>
      <c r="DE337" s="367">
        <v>0.17169999999999999</v>
      </c>
      <c r="DF337" s="367">
        <v>0.16819999999999999</v>
      </c>
      <c r="DG337" s="367">
        <v>0.17524000000000001</v>
      </c>
      <c r="DI337" s="826"/>
      <c r="DJ337" s="788"/>
    </row>
    <row r="338" spans="1:114" s="783" customFormat="1">
      <c r="A338" s="358"/>
      <c r="B338" s="359" t="s">
        <v>84</v>
      </c>
      <c r="C338" s="840" t="s">
        <v>83</v>
      </c>
      <c r="D338" s="361">
        <f>D336*D337</f>
        <v>61.102799999999995</v>
      </c>
      <c r="E338" s="361">
        <f>E336*E337</f>
        <v>66.040399999999991</v>
      </c>
      <c r="F338" s="361">
        <f>F336*F337</f>
        <v>66.04292633980495</v>
      </c>
      <c r="G338" s="361">
        <f>G336*G337</f>
        <v>66.04292633980495</v>
      </c>
      <c r="H338" s="162" t="e">
        <f>H336*H337</f>
        <v>#REF!</v>
      </c>
      <c r="I338" s="162"/>
      <c r="J338" s="162"/>
      <c r="K338" s="162"/>
      <c r="L338" s="162"/>
      <c r="M338" s="162"/>
      <c r="N338" s="162"/>
      <c r="O338" s="162" t="e">
        <f>O336*O337</f>
        <v>#REF!</v>
      </c>
      <c r="P338" s="162"/>
      <c r="Q338" s="162"/>
      <c r="R338" s="162"/>
      <c r="S338" s="162">
        <f>S330/S20</f>
        <v>1372.4267334212288</v>
      </c>
      <c r="T338" s="162"/>
      <c r="U338" s="162" t="e">
        <f>U330/U20</f>
        <v>#REF!</v>
      </c>
      <c r="V338" s="162" t="e">
        <f>V330/V20</f>
        <v>#REF!</v>
      </c>
      <c r="W338" s="162"/>
      <c r="X338" s="209"/>
      <c r="Y338" s="210"/>
      <c r="Z338" s="162"/>
      <c r="AA338" s="162"/>
      <c r="AB338" s="162"/>
      <c r="AC338" s="162" t="e">
        <f>AC336*AC337</f>
        <v>#REF!</v>
      </c>
      <c r="AD338" s="162"/>
      <c r="AE338" s="162" t="e">
        <f>AE330/AE20</f>
        <v>#REF!</v>
      </c>
      <c r="AF338" s="162"/>
      <c r="AG338" s="162" t="e">
        <f>AG330/AG20</f>
        <v>#REF!</v>
      </c>
      <c r="AH338" s="162" t="e">
        <f>AH330/AH20</f>
        <v>#REF!</v>
      </c>
      <c r="AI338" s="162"/>
      <c r="AJ338" s="209"/>
      <c r="AK338" s="211"/>
      <c r="AL338" s="162"/>
      <c r="AM338" s="162"/>
      <c r="AN338" s="162"/>
      <c r="AO338" s="162" t="e">
        <f>AO336*AO337</f>
        <v>#REF!</v>
      </c>
      <c r="AP338" s="162"/>
      <c r="AQ338" s="162" t="e">
        <f>AQ330/AQ20</f>
        <v>#REF!</v>
      </c>
      <c r="AR338" s="162"/>
      <c r="AS338" s="162" t="e">
        <f>AS330/AS20</f>
        <v>#REF!</v>
      </c>
      <c r="AT338" s="162" t="e">
        <f>AT330/AT20</f>
        <v>#REF!</v>
      </c>
      <c r="AU338" s="162"/>
      <c r="AV338" s="209"/>
      <c r="AW338" s="211"/>
      <c r="AX338" s="362"/>
      <c r="AY338" s="361">
        <f>AY336*AY337</f>
        <v>65.953752578277431</v>
      </c>
      <c r="AZ338" s="378" t="e">
        <f>AZ336*AZ337</f>
        <v>#REF!</v>
      </c>
      <c r="BA338" s="379">
        <f>BA336*BA337</f>
        <v>76.708261997442818</v>
      </c>
      <c r="BB338" s="364"/>
      <c r="BC338" s="364"/>
      <c r="BD338" s="364"/>
      <c r="BE338" s="380"/>
      <c r="BF338" s="363"/>
      <c r="BG338" s="364"/>
      <c r="BH338" s="364"/>
      <c r="BI338" s="380"/>
      <c r="BJ338" s="426"/>
      <c r="BK338" s="481"/>
      <c r="BL338" s="675"/>
      <c r="BM338" s="676"/>
      <c r="BN338" s="677"/>
      <c r="BO338" s="484"/>
      <c r="BP338" s="678"/>
      <c r="BQ338" s="676"/>
      <c r="BR338" s="679"/>
      <c r="BS338" s="680"/>
      <c r="BT338" s="678"/>
      <c r="BU338" s="676"/>
      <c r="BV338" s="679"/>
      <c r="BW338" s="680"/>
      <c r="BX338" s="681"/>
      <c r="BY338" s="682">
        <f>BY336*BY337</f>
        <v>5.821471372549019</v>
      </c>
      <c r="BZ338" s="683">
        <f>BZ336*BZ337</f>
        <v>46.546239999999997</v>
      </c>
      <c r="CA338" s="676"/>
      <c r="CB338" s="493"/>
      <c r="CC338" s="246"/>
      <c r="CD338" s="684"/>
      <c r="CE338" s="685"/>
      <c r="CF338" s="686"/>
      <c r="CG338" s="687"/>
      <c r="CH338" s="687"/>
      <c r="CI338" s="687"/>
      <c r="CJ338" s="687"/>
      <c r="CK338" s="687"/>
      <c r="CL338" s="687"/>
      <c r="CM338" s="688"/>
      <c r="CN338" s="688"/>
      <c r="CO338" s="688"/>
      <c r="CP338" s="688"/>
      <c r="CQ338" s="688"/>
      <c r="CR338" s="688"/>
      <c r="CS338" s="688"/>
      <c r="CT338" s="688"/>
      <c r="CU338" s="688"/>
      <c r="CV338" s="688"/>
      <c r="CW338" s="688"/>
      <c r="CX338" s="688"/>
      <c r="CY338" s="688"/>
      <c r="CZ338" s="688"/>
      <c r="DA338" s="361" t="e">
        <f t="shared" ref="DA338:DG338" si="188">DA336*DA337</f>
        <v>#REF!</v>
      </c>
      <c r="DB338" s="361">
        <f t="shared" si="188"/>
        <v>99.727635968278335</v>
      </c>
      <c r="DC338" s="361">
        <f t="shared" si="188"/>
        <v>72.032400000000024</v>
      </c>
      <c r="DD338" s="361">
        <f t="shared" si="188"/>
        <v>72.032399999999996</v>
      </c>
      <c r="DE338" s="361">
        <f t="shared" si="188"/>
        <v>73.4876</v>
      </c>
      <c r="DF338" s="361">
        <f t="shared" si="188"/>
        <v>71.98960000000001</v>
      </c>
      <c r="DG338" s="362">
        <f t="shared" si="188"/>
        <v>75.002720000000011</v>
      </c>
      <c r="DI338" s="826"/>
      <c r="DJ338" s="788"/>
    </row>
    <row r="339" spans="1:114" s="783" customFormat="1">
      <c r="A339" s="358"/>
      <c r="B339" s="359" t="s">
        <v>85</v>
      </c>
      <c r="C339" s="840" t="s">
        <v>83</v>
      </c>
      <c r="D339" s="711">
        <v>396</v>
      </c>
      <c r="E339" s="711">
        <v>428</v>
      </c>
      <c r="F339" s="711">
        <v>428</v>
      </c>
      <c r="G339" s="711">
        <v>428</v>
      </c>
      <c r="H339" s="357"/>
      <c r="I339" s="357" t="e">
        <f>(I335+I340)/I20</f>
        <v>#REF!</v>
      </c>
      <c r="J339" s="357"/>
      <c r="K339" s="357"/>
      <c r="L339" s="357"/>
      <c r="M339" s="357"/>
      <c r="N339" s="357"/>
      <c r="O339" s="357"/>
      <c r="P339" s="357"/>
      <c r="Q339" s="357"/>
      <c r="R339" s="357"/>
      <c r="S339" s="357"/>
      <c r="T339" s="357"/>
      <c r="U339" s="357"/>
      <c r="V339" s="357"/>
      <c r="W339" s="357"/>
      <c r="X339" s="674"/>
      <c r="Y339" s="712"/>
      <c r="Z339" s="357"/>
      <c r="AA339" s="357"/>
      <c r="AB339" s="357"/>
      <c r="AC339" s="357"/>
      <c r="AD339" s="357"/>
      <c r="AE339" s="357"/>
      <c r="AF339" s="357"/>
      <c r="AG339" s="357"/>
      <c r="AH339" s="357"/>
      <c r="AI339" s="357"/>
      <c r="AJ339" s="674"/>
      <c r="AK339" s="713"/>
      <c r="AL339" s="357"/>
      <c r="AM339" s="357"/>
      <c r="AN339" s="357"/>
      <c r="AO339" s="357"/>
      <c r="AP339" s="357"/>
      <c r="AQ339" s="357"/>
      <c r="AR339" s="357"/>
      <c r="AS339" s="357"/>
      <c r="AT339" s="357"/>
      <c r="AU339" s="357"/>
      <c r="AV339" s="674"/>
      <c r="AW339" s="713"/>
      <c r="AX339" s="360"/>
      <c r="AY339" s="711">
        <f>BC339</f>
        <v>428.02499198974687</v>
      </c>
      <c r="AZ339" s="714"/>
      <c r="BA339" s="685"/>
      <c r="BB339" s="685">
        <f>(BB335+BB340)/BB20</f>
        <v>346.65478475459281</v>
      </c>
      <c r="BC339" s="715">
        <f>(BC335+BC340)/BC20</f>
        <v>428.02499198974687</v>
      </c>
      <c r="BD339" s="685"/>
      <c r="BE339" s="716"/>
      <c r="BF339" s="714"/>
      <c r="BG339" s="685"/>
      <c r="BH339" s="685"/>
      <c r="BI339" s="716"/>
      <c r="BJ339" s="435"/>
      <c r="BK339" s="493"/>
      <c r="BL339" s="675"/>
      <c r="BM339" s="676"/>
      <c r="BN339" s="677"/>
      <c r="BO339" s="484"/>
      <c r="BP339" s="678"/>
      <c r="BQ339" s="676"/>
      <c r="BR339" s="679"/>
      <c r="BS339" s="680"/>
      <c r="BT339" s="678"/>
      <c r="BU339" s="676"/>
      <c r="BV339" s="679"/>
      <c r="BW339" s="680"/>
      <c r="BX339" s="681"/>
      <c r="BY339" s="682">
        <f>F30/F24</f>
        <v>428.05017822868109</v>
      </c>
      <c r="BZ339" s="683">
        <v>338.57</v>
      </c>
      <c r="CA339" s="676"/>
      <c r="CB339" s="493"/>
      <c r="CC339" s="246"/>
      <c r="CD339" s="684"/>
      <c r="CE339" s="685"/>
      <c r="CF339" s="686"/>
      <c r="CG339" s="687"/>
      <c r="CH339" s="687"/>
      <c r="CI339" s="687"/>
      <c r="CJ339" s="687"/>
      <c r="CK339" s="687"/>
      <c r="CL339" s="687"/>
      <c r="CM339" s="688"/>
      <c r="CN339" s="688"/>
      <c r="CO339" s="688"/>
      <c r="CP339" s="688"/>
      <c r="CQ339" s="688"/>
      <c r="CR339" s="688"/>
      <c r="CS339" s="688"/>
      <c r="CT339" s="688"/>
      <c r="CU339" s="688"/>
      <c r="CV339" s="688"/>
      <c r="CW339" s="688"/>
      <c r="CX339" s="688"/>
      <c r="CY339" s="688"/>
      <c r="CZ339" s="688"/>
      <c r="DA339" s="711" t="e">
        <f>DA336</f>
        <v>#REF!</v>
      </c>
      <c r="DB339" s="711">
        <f>DB336</f>
        <v>428.0156050140701</v>
      </c>
      <c r="DC339" s="711">
        <v>428</v>
      </c>
      <c r="DD339" s="711">
        <v>428</v>
      </c>
      <c r="DE339" s="711">
        <v>428</v>
      </c>
      <c r="DF339" s="711">
        <v>428</v>
      </c>
      <c r="DG339" s="856">
        <v>428</v>
      </c>
      <c r="DI339" s="826"/>
      <c r="DJ339" s="788"/>
    </row>
    <row r="340" spans="1:114" s="783" customFormat="1">
      <c r="A340" s="208" t="s">
        <v>242</v>
      </c>
      <c r="B340" s="153" t="s">
        <v>46</v>
      </c>
      <c r="C340" s="857" t="s">
        <v>54</v>
      </c>
      <c r="D340" s="162">
        <f t="shared" ref="D340:I340" si="189">D331-D333</f>
        <v>1613.3084200000112</v>
      </c>
      <c r="E340" s="162">
        <f t="shared" si="189"/>
        <v>808.18841999998722</v>
      </c>
      <c r="F340" s="162">
        <f t="shared" si="189"/>
        <v>808.19290999999475</v>
      </c>
      <c r="G340" s="162">
        <f t="shared" si="189"/>
        <v>808.18825000000334</v>
      </c>
      <c r="H340" s="162" t="e">
        <f t="shared" si="189"/>
        <v>#REF!</v>
      </c>
      <c r="I340" s="162" t="e">
        <f t="shared" si="189"/>
        <v>#REF!</v>
      </c>
      <c r="J340" s="162"/>
      <c r="K340" s="162"/>
      <c r="L340" s="162"/>
      <c r="M340" s="162" t="e">
        <f>M28-M335</f>
        <v>#REF!</v>
      </c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209"/>
      <c r="Y340" s="210"/>
      <c r="Z340" s="162"/>
      <c r="AA340" s="162" t="e">
        <f>AA28-AA335</f>
        <v>#REF!</v>
      </c>
      <c r="AB340" s="162"/>
      <c r="AC340" s="162"/>
      <c r="AD340" s="162"/>
      <c r="AE340" s="162"/>
      <c r="AF340" s="162"/>
      <c r="AG340" s="162"/>
      <c r="AH340" s="162"/>
      <c r="AI340" s="162"/>
      <c r="AJ340" s="209"/>
      <c r="AK340" s="211"/>
      <c r="AL340" s="162"/>
      <c r="AM340" s="162" t="e">
        <f>AM28-AM335</f>
        <v>#REF!</v>
      </c>
      <c r="AN340" s="162"/>
      <c r="AO340" s="162"/>
      <c r="AP340" s="162"/>
      <c r="AQ340" s="162"/>
      <c r="AR340" s="162"/>
      <c r="AS340" s="162"/>
      <c r="AT340" s="162"/>
      <c r="AU340" s="162"/>
      <c r="AV340" s="209"/>
      <c r="AW340" s="211"/>
      <c r="AX340" s="162">
        <f>AX331-AX333</f>
        <v>95.214125000000649</v>
      </c>
      <c r="AY340" s="162">
        <f>AY331-AY333-AY334</f>
        <v>-887.0109999999811</v>
      </c>
      <c r="AZ340" s="343" t="e">
        <f t="shared" ref="AZ340:BG340" si="190">AZ331-AZ333</f>
        <v>#REF!</v>
      </c>
      <c r="BA340" s="344">
        <f t="shared" si="190"/>
        <v>3392.7599999999952</v>
      </c>
      <c r="BB340" s="344">
        <f t="shared" si="190"/>
        <v>3128.75</v>
      </c>
      <c r="BC340" s="344">
        <f t="shared" si="190"/>
        <v>2551.0745000000088</v>
      </c>
      <c r="BD340" s="344">
        <f t="shared" si="190"/>
        <v>0</v>
      </c>
      <c r="BE340" s="345">
        <f>BE331-BE333</f>
        <v>50.960000000000292</v>
      </c>
      <c r="BF340" s="343">
        <f>BF331-BF333</f>
        <v>-2180.1560899999999</v>
      </c>
      <c r="BG340" s="344">
        <f t="shared" si="190"/>
        <v>-1661.18905</v>
      </c>
      <c r="BH340" s="344">
        <f>BH331-BH334</f>
        <v>247.29414</v>
      </c>
      <c r="BI340" s="345">
        <f>BI331-BI333</f>
        <v>0</v>
      </c>
      <c r="BJ340" s="288"/>
      <c r="BK340" s="515"/>
      <c r="BL340" s="666">
        <f>BL28-BL335</f>
        <v>0</v>
      </c>
      <c r="BM340" s="516" t="e">
        <f>BM28-BM335</f>
        <v>#REF!</v>
      </c>
      <c r="BN340" s="122" t="e">
        <f>BM340-BL340</f>
        <v>#REF!</v>
      </c>
      <c r="BO340" s="409" t="e">
        <f>BM340/BL340</f>
        <v>#REF!</v>
      </c>
      <c r="BP340" s="448"/>
      <c r="BQ340" s="516"/>
      <c r="BR340" s="517"/>
      <c r="BS340" s="518"/>
      <c r="BT340" s="448"/>
      <c r="BU340" s="516"/>
      <c r="BV340" s="517"/>
      <c r="BW340" s="518"/>
      <c r="BX340" s="667" t="e">
        <f>BX331-BX333</f>
        <v>#REF!</v>
      </c>
      <c r="BY340" s="449">
        <f t="shared" si="178"/>
        <v>808.19290999999475</v>
      </c>
      <c r="BZ340" s="209">
        <f>BZ28-BZ332-BZ333-BZ334</f>
        <v>5769.9029300000002</v>
      </c>
      <c r="CA340" s="516">
        <f t="shared" si="180"/>
        <v>4961.7100200000059</v>
      </c>
      <c r="CB340" s="515">
        <f t="shared" si="181"/>
        <v>7.1392644733793045</v>
      </c>
      <c r="CC340" s="414">
        <f>BZ340-E340</f>
        <v>4961.7145100000125</v>
      </c>
      <c r="CD340" s="668" t="e">
        <f>CD28-CD335</f>
        <v>#REF!</v>
      </c>
      <c r="CE340" s="344" t="e">
        <f>CE28-CE335</f>
        <v>#REF!</v>
      </c>
      <c r="CF340" s="519">
        <f>CF28-CF335</f>
        <v>1716.5367000000001</v>
      </c>
      <c r="CG340" s="450"/>
      <c r="CH340" s="450"/>
      <c r="CI340" s="450"/>
      <c r="CJ340" s="450"/>
      <c r="CK340" s="450"/>
      <c r="CL340" s="450"/>
      <c r="CM340" s="451"/>
      <c r="CN340" s="451"/>
      <c r="CO340" s="451"/>
      <c r="CP340" s="451"/>
      <c r="CQ340" s="451"/>
      <c r="CR340" s="451"/>
      <c r="CS340" s="451"/>
      <c r="CT340" s="451"/>
      <c r="CU340" s="451"/>
      <c r="CV340" s="451"/>
      <c r="CW340" s="451"/>
      <c r="CX340" s="451"/>
      <c r="CY340" s="451"/>
      <c r="CZ340" s="451"/>
      <c r="DA340" s="162" t="e">
        <f t="shared" ref="DA340:DG340" si="191">DA331-DA333</f>
        <v>#REF!</v>
      </c>
      <c r="DB340" s="162">
        <f t="shared" si="191"/>
        <v>1593.1262899999958</v>
      </c>
      <c r="DC340" s="162">
        <f t="shared" si="191"/>
        <v>1808.2602500000128</v>
      </c>
      <c r="DD340" s="162">
        <f t="shared" si="191"/>
        <v>114.71654999999714</v>
      </c>
      <c r="DE340" s="162">
        <f t="shared" si="191"/>
        <v>1564.6238900000044</v>
      </c>
      <c r="DF340" s="162">
        <f t="shared" si="191"/>
        <v>777.33102000000451</v>
      </c>
      <c r="DG340" s="162">
        <f t="shared" si="191"/>
        <v>787.30063500000176</v>
      </c>
      <c r="DI340" s="826"/>
      <c r="DJ340" s="788"/>
    </row>
    <row r="341" spans="1:114" s="783" customFormat="1">
      <c r="A341" s="780"/>
      <c r="B341" s="43"/>
      <c r="C341" s="781"/>
      <c r="D341" s="858"/>
      <c r="E341" s="858"/>
      <c r="F341" s="858"/>
      <c r="G341" s="858"/>
      <c r="H341" s="858"/>
      <c r="I341" s="858"/>
      <c r="J341" s="858"/>
      <c r="K341" s="858"/>
      <c r="L341" s="858"/>
      <c r="M341" s="782"/>
      <c r="N341" s="782"/>
      <c r="O341" s="782"/>
      <c r="P341" s="782"/>
      <c r="Q341" s="782"/>
      <c r="R341" s="782"/>
      <c r="S341" s="782"/>
      <c r="T341" s="782"/>
      <c r="U341" s="782"/>
      <c r="V341" s="782"/>
      <c r="W341" s="782"/>
      <c r="X341" s="74"/>
      <c r="Y341" s="786"/>
      <c r="Z341" s="858"/>
      <c r="AA341" s="782"/>
      <c r="AB341" s="782"/>
      <c r="AC341" s="782"/>
      <c r="AD341" s="782"/>
      <c r="AE341" s="782"/>
      <c r="AF341" s="782"/>
      <c r="AG341" s="782"/>
      <c r="AH341" s="782"/>
      <c r="AI341" s="782"/>
      <c r="AJ341" s="74"/>
      <c r="AK341" s="786"/>
      <c r="AL341" s="786"/>
      <c r="AM341" s="786"/>
      <c r="AN341" s="786"/>
      <c r="AO341" s="786"/>
      <c r="AP341" s="786"/>
      <c r="AQ341" s="786"/>
      <c r="AR341" s="786"/>
      <c r="AS341" s="786"/>
      <c r="AT341" s="786"/>
      <c r="AU341" s="786"/>
      <c r="AV341" s="786"/>
      <c r="AW341" s="786"/>
      <c r="AX341" s="786"/>
      <c r="AY341" s="786"/>
      <c r="AZ341" s="786"/>
      <c r="BA341" s="786"/>
      <c r="BB341" s="786"/>
      <c r="BC341" s="786"/>
      <c r="BD341" s="786"/>
      <c r="BE341" s="786"/>
      <c r="BF341" s="786"/>
      <c r="BG341" s="786"/>
      <c r="BH341" s="786"/>
      <c r="BI341" s="786"/>
      <c r="BJ341" s="786"/>
      <c r="BK341" s="786"/>
      <c r="BL341" s="785"/>
      <c r="BM341" s="785"/>
      <c r="BN341" s="74"/>
      <c r="BO341" s="786"/>
      <c r="BP341" s="785"/>
      <c r="BQ341" s="785"/>
      <c r="BR341" s="74"/>
      <c r="BS341" s="786"/>
      <c r="BT341" s="785"/>
      <c r="BU341" s="785"/>
      <c r="BV341" s="74"/>
      <c r="BW341" s="786"/>
      <c r="BX341" s="786"/>
      <c r="BY341" s="74"/>
      <c r="BZ341" s="74"/>
      <c r="CA341" s="74"/>
      <c r="CB341" s="74"/>
      <c r="CC341" s="74"/>
      <c r="CD341" s="74"/>
      <c r="CE341" s="74"/>
      <c r="CF341" s="74"/>
      <c r="CG341" s="74"/>
      <c r="CH341" s="74"/>
      <c r="CI341" s="74"/>
      <c r="CJ341" s="74"/>
      <c r="CK341" s="74"/>
      <c r="CL341" s="74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  <c r="CZ341" s="75"/>
      <c r="DA341" s="786"/>
      <c r="DB341" s="786"/>
      <c r="DC341" s="858"/>
      <c r="DD341" s="858"/>
      <c r="DE341" s="858"/>
      <c r="DF341" s="858"/>
      <c r="DG341" s="858"/>
      <c r="DI341" s="75"/>
      <c r="DJ341" s="788"/>
    </row>
    <row r="342" spans="1:114" s="783" customFormat="1" hidden="1">
      <c r="A342" s="859"/>
      <c r="B342" s="782"/>
      <c r="C342" s="782"/>
      <c r="D342" s="858"/>
      <c r="E342" s="858"/>
      <c r="F342" s="858"/>
      <c r="G342" s="858"/>
      <c r="H342" s="858"/>
      <c r="I342" s="858"/>
      <c r="J342" s="858"/>
      <c r="K342" s="858"/>
      <c r="L342" s="858"/>
      <c r="M342" s="858"/>
      <c r="N342" s="858"/>
      <c r="O342" s="858"/>
      <c r="P342" s="858"/>
      <c r="Q342" s="858"/>
      <c r="R342" s="858"/>
      <c r="S342" s="858"/>
      <c r="T342" s="858"/>
      <c r="U342" s="858"/>
      <c r="V342" s="858"/>
      <c r="W342" s="858"/>
      <c r="X342" s="858"/>
      <c r="Y342" s="782"/>
      <c r="Z342" s="782"/>
      <c r="AA342" s="782"/>
      <c r="AB342" s="782"/>
      <c r="AC342" s="782"/>
      <c r="AD342" s="782"/>
      <c r="AE342" s="782"/>
      <c r="AF342" s="782"/>
      <c r="AG342" s="782"/>
      <c r="AH342" s="74"/>
      <c r="AI342" s="786"/>
      <c r="AJ342" s="786"/>
      <c r="AK342" s="786"/>
      <c r="AL342" s="786"/>
      <c r="AM342" s="786"/>
      <c r="AN342" s="786"/>
      <c r="AO342" s="786"/>
      <c r="AP342" s="786"/>
      <c r="AQ342" s="786"/>
      <c r="AR342" s="786"/>
      <c r="AS342" s="786"/>
      <c r="AT342" s="786"/>
      <c r="AU342" s="786"/>
      <c r="AV342" s="786"/>
      <c r="AW342" s="786"/>
      <c r="AX342" s="786"/>
      <c r="AY342" s="786"/>
      <c r="AZ342" s="786"/>
      <c r="BA342" s="786"/>
      <c r="BB342" s="786"/>
      <c r="BC342" s="786"/>
      <c r="BD342" s="786"/>
      <c r="BE342" s="786"/>
      <c r="BF342" s="786"/>
      <c r="BG342" s="786"/>
      <c r="BH342" s="786"/>
      <c r="BI342" s="786"/>
      <c r="BJ342" s="785"/>
      <c r="BK342" s="785"/>
      <c r="BL342" s="74"/>
      <c r="BM342" s="786"/>
      <c r="BN342" s="785"/>
      <c r="BO342" s="785"/>
      <c r="BP342" s="74"/>
      <c r="BQ342" s="786"/>
      <c r="BR342" s="785"/>
      <c r="BS342" s="785"/>
      <c r="BT342" s="74"/>
      <c r="BU342" s="786"/>
      <c r="BV342" s="786"/>
      <c r="BW342" s="74"/>
      <c r="BX342" s="74"/>
      <c r="BY342" s="74"/>
      <c r="BZ342" s="74"/>
      <c r="CA342" s="74"/>
      <c r="CB342" s="74"/>
      <c r="CC342" s="74"/>
      <c r="CD342" s="74"/>
      <c r="CE342" s="74"/>
      <c r="CF342" s="74"/>
      <c r="CG342" s="74"/>
      <c r="CH342" s="74"/>
      <c r="CI342" s="74"/>
      <c r="CJ342" s="74"/>
      <c r="CK342" s="75"/>
      <c r="CL342" s="75"/>
      <c r="CM342" s="75"/>
      <c r="CN342" s="75"/>
      <c r="CO342" s="75"/>
      <c r="CP342" s="75"/>
      <c r="CQ342" s="75"/>
      <c r="CR342" s="75"/>
      <c r="CS342" s="75"/>
      <c r="CT342" s="75"/>
      <c r="CU342" s="75"/>
      <c r="CV342" s="75"/>
      <c r="CW342" s="75"/>
      <c r="CX342" s="75"/>
      <c r="CY342" s="75"/>
      <c r="CZ342" s="75"/>
      <c r="DA342" s="786"/>
      <c r="DB342" s="786"/>
      <c r="DC342" s="858"/>
      <c r="DD342" s="858"/>
      <c r="DE342" s="858"/>
      <c r="DF342" s="858"/>
      <c r="DG342" s="858"/>
      <c r="DI342" s="75"/>
      <c r="DJ342" s="788"/>
    </row>
    <row r="343" spans="1:114" s="783" customFormat="1">
      <c r="A343" s="859" t="s">
        <v>330</v>
      </c>
      <c r="B343" s="782"/>
      <c r="C343" s="782"/>
      <c r="D343" s="858"/>
      <c r="E343" s="858"/>
      <c r="F343" s="858"/>
      <c r="G343" s="858"/>
      <c r="H343" s="858"/>
      <c r="I343" s="858"/>
      <c r="J343" s="858"/>
      <c r="K343" s="858"/>
      <c r="L343" s="858"/>
      <c r="M343" s="858"/>
      <c r="N343" s="858"/>
      <c r="O343" s="858"/>
      <c r="P343" s="858"/>
      <c r="Q343" s="858"/>
      <c r="R343" s="858"/>
      <c r="S343" s="858"/>
      <c r="T343" s="858"/>
      <c r="U343" s="858"/>
      <c r="V343" s="858"/>
      <c r="W343" s="858"/>
      <c r="X343" s="858"/>
      <c r="Y343" s="782"/>
      <c r="Z343" s="782"/>
      <c r="AA343" s="782"/>
      <c r="AB343" s="782"/>
      <c r="AC343" s="782"/>
      <c r="AD343" s="782"/>
      <c r="AE343" s="782"/>
      <c r="AF343" s="782"/>
      <c r="AG343" s="782"/>
      <c r="AH343" s="74"/>
      <c r="AI343" s="786"/>
      <c r="AJ343" s="786"/>
      <c r="AK343" s="786"/>
      <c r="AL343" s="786"/>
      <c r="AM343" s="786"/>
      <c r="AN343" s="786"/>
      <c r="AO343" s="786"/>
      <c r="AP343" s="786"/>
      <c r="AQ343" s="786"/>
      <c r="AR343" s="786"/>
      <c r="AS343" s="786"/>
      <c r="AT343" s="786"/>
      <c r="AU343" s="786"/>
      <c r="AV343" s="786"/>
      <c r="AW343" s="786"/>
      <c r="AX343" s="786"/>
      <c r="AY343" s="786"/>
      <c r="AZ343" s="786"/>
      <c r="BA343" s="786"/>
      <c r="BB343" s="786"/>
      <c r="BC343" s="786"/>
      <c r="BD343" s="860" t="s">
        <v>154</v>
      </c>
      <c r="BE343" s="860" t="s">
        <v>243</v>
      </c>
      <c r="BF343" s="786"/>
      <c r="BG343" s="786"/>
      <c r="BH343" s="786"/>
      <c r="BI343" s="786"/>
      <c r="BJ343" s="785"/>
      <c r="BK343" s="785"/>
      <c r="BL343" s="74"/>
      <c r="BM343" s="786"/>
      <c r="BN343" s="785"/>
      <c r="BO343" s="785"/>
      <c r="BP343" s="74"/>
      <c r="BQ343" s="786"/>
      <c r="BR343" s="785"/>
      <c r="BS343" s="785"/>
      <c r="BT343" s="74"/>
      <c r="BU343" s="786"/>
      <c r="BV343" s="786"/>
      <c r="BW343" s="74"/>
      <c r="BX343" s="74"/>
      <c r="BY343" s="74"/>
      <c r="BZ343" s="74"/>
      <c r="CA343" s="74"/>
      <c r="CB343" s="74"/>
      <c r="CC343" s="74"/>
      <c r="CD343" s="74"/>
      <c r="CE343" s="74"/>
      <c r="CF343" s="74"/>
      <c r="CG343" s="74"/>
      <c r="CH343" s="74"/>
      <c r="CI343" s="74"/>
      <c r="CJ343" s="74"/>
      <c r="CK343" s="75"/>
      <c r="CL343" s="75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  <c r="CZ343" s="75"/>
      <c r="DA343" s="860" t="s">
        <v>298</v>
      </c>
      <c r="DB343" s="860" t="s">
        <v>298</v>
      </c>
      <c r="DC343" s="858"/>
      <c r="DD343" s="858"/>
      <c r="DE343" s="858"/>
      <c r="DF343" s="858"/>
      <c r="DG343" s="858"/>
      <c r="DI343" s="75"/>
      <c r="DJ343" s="788"/>
    </row>
    <row r="344" spans="1:114" s="783" customFormat="1">
      <c r="A344" s="859" t="s">
        <v>331</v>
      </c>
      <c r="B344" s="43"/>
      <c r="C344" s="781"/>
      <c r="D344" s="782"/>
      <c r="E344" s="782"/>
      <c r="F344" s="782"/>
      <c r="G344" s="782"/>
      <c r="H344" s="782"/>
      <c r="I344" s="782"/>
      <c r="J344" s="782"/>
      <c r="K344" s="782"/>
      <c r="L344" s="782"/>
      <c r="M344" s="782"/>
      <c r="N344" s="782"/>
      <c r="O344" s="782"/>
      <c r="P344" s="782"/>
      <c r="Q344" s="782"/>
      <c r="R344" s="782"/>
      <c r="S344" s="782"/>
      <c r="T344" s="782"/>
      <c r="U344" s="782"/>
      <c r="V344" s="782"/>
      <c r="W344" s="782"/>
      <c r="X344" s="74"/>
      <c r="Y344" s="786"/>
      <c r="Z344" s="782"/>
      <c r="AA344" s="782"/>
      <c r="AB344" s="782"/>
      <c r="AC344" s="782"/>
      <c r="AD344" s="782"/>
      <c r="AE344" s="782"/>
      <c r="AF344" s="782"/>
      <c r="AG344" s="782"/>
      <c r="AH344" s="782"/>
      <c r="AI344" s="782"/>
      <c r="AJ344" s="74"/>
      <c r="AK344" s="786"/>
      <c r="AL344" s="786"/>
      <c r="AM344" s="786"/>
      <c r="AN344" s="786"/>
      <c r="AO344" s="786"/>
      <c r="AP344" s="786"/>
      <c r="AQ344" s="786"/>
      <c r="AR344" s="786"/>
      <c r="AS344" s="786"/>
      <c r="AT344" s="786"/>
      <c r="AU344" s="786"/>
      <c r="AV344" s="786"/>
      <c r="AW344" s="786"/>
      <c r="AX344" s="786"/>
      <c r="AY344" s="786"/>
      <c r="AZ344" s="786"/>
      <c r="BA344" s="786"/>
      <c r="BB344" s="786"/>
      <c r="BC344" s="786"/>
      <c r="BD344" s="786"/>
      <c r="BE344" s="786"/>
      <c r="BF344" s="786"/>
      <c r="BG344" s="786"/>
      <c r="BH344" s="786"/>
      <c r="BI344" s="786"/>
      <c r="BJ344" s="786"/>
      <c r="BK344" s="786"/>
      <c r="BL344" s="785"/>
      <c r="BM344" s="785"/>
      <c r="BN344" s="74"/>
      <c r="BO344" s="786"/>
      <c r="BP344" s="785"/>
      <c r="BQ344" s="785"/>
      <c r="BR344" s="74"/>
      <c r="BS344" s="786"/>
      <c r="BT344" s="785"/>
      <c r="BU344" s="785"/>
      <c r="BV344" s="74"/>
      <c r="BW344" s="786"/>
      <c r="BX344" s="786"/>
      <c r="BY344" s="74"/>
      <c r="BZ344" s="74"/>
      <c r="CA344" s="74"/>
      <c r="CB344" s="74"/>
      <c r="CC344" s="74"/>
      <c r="CD344" s="74"/>
      <c r="CE344" s="74"/>
      <c r="CF344" s="74"/>
      <c r="CG344" s="74"/>
      <c r="CH344" s="74"/>
      <c r="CI344" s="74"/>
      <c r="CJ344" s="74"/>
      <c r="CK344" s="74"/>
      <c r="CL344" s="74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  <c r="CZ344" s="75"/>
      <c r="DA344" s="786"/>
      <c r="DB344" s="786"/>
      <c r="DC344" s="782"/>
      <c r="DD344" s="782"/>
      <c r="DE344" s="858" t="s">
        <v>332</v>
      </c>
      <c r="DF344" s="858"/>
      <c r="DG344" s="858"/>
      <c r="DI344" s="75"/>
      <c r="DJ344" s="788"/>
    </row>
    <row r="345" spans="1:114">
      <c r="DI345" s="777"/>
    </row>
    <row r="346" spans="1:114">
      <c r="DI346" s="777"/>
    </row>
  </sheetData>
  <mergeCells count="33">
    <mergeCell ref="DG18:DG19"/>
    <mergeCell ref="CC17:CC18"/>
    <mergeCell ref="DC17:DD17"/>
    <mergeCell ref="BA18:BE18"/>
    <mergeCell ref="A19:B19"/>
    <mergeCell ref="DE17:DE19"/>
    <mergeCell ref="DF18:DF19"/>
    <mergeCell ref="DF17:DG17"/>
    <mergeCell ref="A13:DF13"/>
    <mergeCell ref="A14:DF14"/>
    <mergeCell ref="A15:DF15"/>
    <mergeCell ref="A17:A18"/>
    <mergeCell ref="B17:B18"/>
    <mergeCell ref="C17:C18"/>
    <mergeCell ref="BL17:BO17"/>
    <mergeCell ref="BP17:BS17"/>
    <mergeCell ref="BT17:BW17"/>
    <mergeCell ref="BX17:BX18"/>
    <mergeCell ref="BY17:CB17"/>
    <mergeCell ref="F9:DA9"/>
    <mergeCell ref="DC9:DF9"/>
    <mergeCell ref="F10:DA10"/>
    <mergeCell ref="DC10:DF10"/>
    <mergeCell ref="DC11:DF11"/>
    <mergeCell ref="DC7:DF7"/>
    <mergeCell ref="F8:DA8"/>
    <mergeCell ref="DC8:DF8"/>
    <mergeCell ref="G1:DB1"/>
    <mergeCell ref="G2:DB2"/>
    <mergeCell ref="G3:DB3"/>
    <mergeCell ref="G4:DB4"/>
    <mergeCell ref="G5:DB5"/>
    <mergeCell ref="F7:DA7"/>
  </mergeCells>
  <pageMargins left="0.39370078740157483" right="0.19685039370078741" top="0.19685039370078741" bottom="0.19685039370078741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344"/>
  <sheetViews>
    <sheetView topLeftCell="A85" workbookViewId="0">
      <selection activeCell="A240" sqref="A240"/>
    </sheetView>
  </sheetViews>
  <sheetFormatPr defaultRowHeight="12" outlineLevelCol="1"/>
  <cols>
    <col min="1" max="1" width="5.83203125" style="42" customWidth="1"/>
    <col min="2" max="2" width="44.6640625" style="43" customWidth="1"/>
    <col min="3" max="3" width="10.5" style="44" customWidth="1"/>
    <col min="4" max="7" width="14" style="28" hidden="1" customWidth="1" outlineLevel="1"/>
    <col min="8" max="23" width="14.83203125" style="28" hidden="1" customWidth="1" outlineLevel="1"/>
    <col min="24" max="24" width="14.83203125" style="29" hidden="1" customWidth="1" outlineLevel="1"/>
    <col min="25" max="25" width="14.83203125" style="30" hidden="1" customWidth="1" outlineLevel="1"/>
    <col min="26" max="35" width="14.83203125" style="28" hidden="1" customWidth="1" outlineLevel="1"/>
    <col min="36" max="36" width="14.83203125" style="29" hidden="1" customWidth="1" outlineLevel="1"/>
    <col min="37" max="49" width="14.83203125" style="30" hidden="1" customWidth="1" outlineLevel="1"/>
    <col min="50" max="50" width="0.5" style="30" hidden="1" customWidth="1" outlineLevel="1"/>
    <col min="51" max="51" width="15.33203125" style="30" hidden="1" customWidth="1" outlineLevel="1"/>
    <col min="52" max="52" width="14.83203125" style="30" hidden="1" customWidth="1" outlineLevel="1"/>
    <col min="53" max="53" width="13.83203125" style="30" hidden="1" customWidth="1" outlineLevel="1"/>
    <col min="54" max="54" width="14.83203125" style="30" hidden="1" customWidth="1" outlineLevel="1"/>
    <col min="55" max="55" width="14" style="30" hidden="1" customWidth="1" outlineLevel="1"/>
    <col min="56" max="56" width="14.83203125" style="30" hidden="1" customWidth="1" outlineLevel="1"/>
    <col min="57" max="57" width="15.1640625" style="30" hidden="1" customWidth="1" outlineLevel="1"/>
    <col min="58" max="63" width="14.83203125" style="30" hidden="1" customWidth="1" outlineLevel="1"/>
    <col min="64" max="65" width="14.83203125" style="704" hidden="1" customWidth="1" outlineLevel="1"/>
    <col min="66" max="66" width="14.83203125" style="29" hidden="1" customWidth="1" outlineLevel="1"/>
    <col min="67" max="67" width="14.83203125" style="30" hidden="1" customWidth="1" outlineLevel="1"/>
    <col min="68" max="69" width="14.83203125" style="704" hidden="1" customWidth="1" outlineLevel="1"/>
    <col min="70" max="70" width="14.83203125" style="29" hidden="1" customWidth="1" outlineLevel="1"/>
    <col min="71" max="71" width="14.83203125" style="30" hidden="1" customWidth="1" outlineLevel="1"/>
    <col min="72" max="73" width="14.83203125" style="704" hidden="1" customWidth="1" outlineLevel="1"/>
    <col min="74" max="74" width="14.83203125" style="29" hidden="1" customWidth="1" outlineLevel="1"/>
    <col min="75" max="76" width="14.83203125" style="30" hidden="1" customWidth="1" outlineLevel="1"/>
    <col min="77" max="77" width="11" style="29" hidden="1" customWidth="1" outlineLevel="1"/>
    <col min="78" max="78" width="11" style="29" hidden="1" customWidth="1"/>
    <col min="79" max="81" width="14.83203125" style="29" hidden="1" customWidth="1"/>
    <col min="82" max="82" width="12.83203125" style="29" hidden="1" customWidth="1"/>
    <col min="83" max="83" width="10.83203125" style="29" hidden="1" customWidth="1"/>
    <col min="84" max="84" width="9.83203125" style="29" hidden="1" customWidth="1"/>
    <col min="85" max="90" width="10.6640625" style="29" hidden="1" customWidth="1"/>
    <col min="91" max="104" width="10.6640625" style="705" hidden="1" customWidth="1"/>
    <col min="105" max="106" width="15.33203125" style="30" hidden="1" customWidth="1" outlineLevel="1"/>
    <col min="107" max="107" width="14" style="28" customWidth="1" outlineLevel="1"/>
    <col min="108" max="109" width="15.33203125" style="28" customWidth="1" outlineLevel="1"/>
    <col min="112" max="112" width="9.33203125" style="773"/>
  </cols>
  <sheetData>
    <row r="1" spans="1:208" ht="15" hidden="1">
      <c r="G1" s="913" t="s">
        <v>295</v>
      </c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  <c r="Z1" s="913"/>
      <c r="AA1" s="913"/>
      <c r="AB1" s="913"/>
      <c r="AC1" s="913"/>
      <c r="AD1" s="913"/>
      <c r="AE1" s="913"/>
      <c r="AF1" s="913"/>
      <c r="AG1" s="913"/>
      <c r="AH1" s="913"/>
      <c r="AI1" s="913"/>
      <c r="AJ1" s="913"/>
      <c r="AK1" s="913"/>
      <c r="AL1" s="913"/>
      <c r="AM1" s="913"/>
      <c r="AN1" s="913"/>
      <c r="AO1" s="913"/>
      <c r="AP1" s="913"/>
      <c r="AQ1" s="913"/>
      <c r="AR1" s="913"/>
      <c r="AS1" s="913"/>
      <c r="AT1" s="913"/>
      <c r="AU1" s="913"/>
      <c r="AV1" s="913"/>
      <c r="AW1" s="913"/>
      <c r="AX1" s="913"/>
      <c r="AY1" s="913"/>
      <c r="AZ1" s="913"/>
      <c r="BA1" s="913"/>
      <c r="BB1" s="913"/>
      <c r="BC1" s="913"/>
      <c r="BD1" s="913"/>
      <c r="BE1" s="913"/>
      <c r="BF1" s="913"/>
      <c r="BG1" s="913"/>
      <c r="BH1" s="913"/>
      <c r="BI1" s="913"/>
      <c r="BJ1" s="913"/>
      <c r="BK1" s="913"/>
      <c r="BL1" s="913"/>
      <c r="BM1" s="913"/>
      <c r="BN1" s="913"/>
      <c r="BO1" s="913"/>
      <c r="BP1" s="913"/>
      <c r="BQ1" s="913"/>
      <c r="BR1" s="913"/>
      <c r="BS1" s="913"/>
      <c r="BT1" s="913"/>
      <c r="BU1" s="913"/>
      <c r="BV1" s="913"/>
      <c r="BW1" s="913"/>
      <c r="BX1" s="913"/>
      <c r="BY1" s="913"/>
      <c r="BZ1" s="913"/>
      <c r="CA1" s="913"/>
      <c r="CB1" s="913"/>
      <c r="CC1" s="913"/>
      <c r="CD1" s="913"/>
      <c r="CE1" s="913"/>
      <c r="CF1" s="913"/>
      <c r="CG1" s="913"/>
      <c r="CH1" s="913"/>
      <c r="CI1" s="913"/>
      <c r="CJ1" s="913"/>
      <c r="CK1" s="913"/>
      <c r="CL1" s="913"/>
      <c r="CM1" s="913"/>
      <c r="CN1" s="913"/>
      <c r="CO1" s="913"/>
      <c r="CP1" s="913"/>
      <c r="CQ1" s="913"/>
      <c r="CR1" s="913"/>
      <c r="CS1" s="913"/>
      <c r="CT1" s="913"/>
      <c r="CU1" s="913"/>
      <c r="CV1" s="913"/>
      <c r="CW1" s="913"/>
      <c r="CX1" s="913"/>
      <c r="CY1" s="913"/>
      <c r="CZ1" s="913"/>
      <c r="DA1" s="913"/>
      <c r="DB1" s="913"/>
      <c r="DC1"/>
      <c r="DD1"/>
      <c r="DE1"/>
    </row>
    <row r="2" spans="1:208" ht="15" hidden="1">
      <c r="G2" s="913" t="s">
        <v>303</v>
      </c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  <c r="AH2" s="913"/>
      <c r="AI2" s="913"/>
      <c r="AJ2" s="913"/>
      <c r="AK2" s="913"/>
      <c r="AL2" s="913"/>
      <c r="AM2" s="913"/>
      <c r="AN2" s="913"/>
      <c r="AO2" s="913"/>
      <c r="AP2" s="913"/>
      <c r="AQ2" s="913"/>
      <c r="AR2" s="913"/>
      <c r="AS2" s="913"/>
      <c r="AT2" s="913"/>
      <c r="AU2" s="913"/>
      <c r="AV2" s="913"/>
      <c r="AW2" s="913"/>
      <c r="AX2" s="913"/>
      <c r="AY2" s="913"/>
      <c r="AZ2" s="913"/>
      <c r="BA2" s="913"/>
      <c r="BB2" s="913"/>
      <c r="BC2" s="913"/>
      <c r="BD2" s="913"/>
      <c r="BE2" s="913"/>
      <c r="BF2" s="913"/>
      <c r="BG2" s="913"/>
      <c r="BH2" s="913"/>
      <c r="BI2" s="913"/>
      <c r="BJ2" s="913"/>
      <c r="BK2" s="913"/>
      <c r="BL2" s="913"/>
      <c r="BM2" s="913"/>
      <c r="BN2" s="913"/>
      <c r="BO2" s="913"/>
      <c r="BP2" s="913"/>
      <c r="BQ2" s="913"/>
      <c r="BR2" s="913"/>
      <c r="BS2" s="913"/>
      <c r="BT2" s="913"/>
      <c r="BU2" s="913"/>
      <c r="BV2" s="913"/>
      <c r="BW2" s="913"/>
      <c r="BX2" s="913"/>
      <c r="BY2" s="913"/>
      <c r="BZ2" s="913"/>
      <c r="CA2" s="913"/>
      <c r="CB2" s="913"/>
      <c r="CC2" s="913"/>
      <c r="CD2" s="913"/>
      <c r="CE2" s="913"/>
      <c r="CF2" s="913"/>
      <c r="CG2" s="913"/>
      <c r="CH2" s="913"/>
      <c r="CI2" s="913"/>
      <c r="CJ2" s="913"/>
      <c r="CK2" s="913"/>
      <c r="CL2" s="913"/>
      <c r="CM2" s="913"/>
      <c r="CN2" s="913"/>
      <c r="CO2" s="913"/>
      <c r="CP2" s="913"/>
      <c r="CQ2" s="913"/>
      <c r="CR2" s="913"/>
      <c r="CS2" s="913"/>
      <c r="CT2" s="913"/>
      <c r="CU2" s="913"/>
      <c r="CV2" s="913"/>
      <c r="CW2" s="913"/>
      <c r="CX2" s="913"/>
      <c r="CY2" s="913"/>
      <c r="CZ2" s="913"/>
      <c r="DA2" s="913"/>
      <c r="DB2" s="913"/>
      <c r="DC2"/>
      <c r="DD2"/>
      <c r="DE2"/>
    </row>
    <row r="3" spans="1:208" ht="15" hidden="1">
      <c r="G3" s="913" t="s">
        <v>296</v>
      </c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  <c r="X3" s="913"/>
      <c r="Y3" s="913"/>
      <c r="Z3" s="913"/>
      <c r="AA3" s="913"/>
      <c r="AB3" s="913"/>
      <c r="AC3" s="913"/>
      <c r="AD3" s="913"/>
      <c r="AE3" s="913"/>
      <c r="AF3" s="913"/>
      <c r="AG3" s="913"/>
      <c r="AH3" s="913"/>
      <c r="AI3" s="913"/>
      <c r="AJ3" s="913"/>
      <c r="AK3" s="913"/>
      <c r="AL3" s="913"/>
      <c r="AM3" s="913"/>
      <c r="AN3" s="913"/>
      <c r="AO3" s="913"/>
      <c r="AP3" s="913"/>
      <c r="AQ3" s="913"/>
      <c r="AR3" s="913"/>
      <c r="AS3" s="913"/>
      <c r="AT3" s="913"/>
      <c r="AU3" s="913"/>
      <c r="AV3" s="913"/>
      <c r="AW3" s="913"/>
      <c r="AX3" s="913"/>
      <c r="AY3" s="913"/>
      <c r="AZ3" s="913"/>
      <c r="BA3" s="913"/>
      <c r="BB3" s="913"/>
      <c r="BC3" s="913"/>
      <c r="BD3" s="913"/>
      <c r="BE3" s="913"/>
      <c r="BF3" s="913"/>
      <c r="BG3" s="913"/>
      <c r="BH3" s="913"/>
      <c r="BI3" s="913"/>
      <c r="BJ3" s="913"/>
      <c r="BK3" s="913"/>
      <c r="BL3" s="913"/>
      <c r="BM3" s="913"/>
      <c r="BN3" s="913"/>
      <c r="BO3" s="913"/>
      <c r="BP3" s="913"/>
      <c r="BQ3" s="913"/>
      <c r="BR3" s="913"/>
      <c r="BS3" s="913"/>
      <c r="BT3" s="913"/>
      <c r="BU3" s="913"/>
      <c r="BV3" s="913"/>
      <c r="BW3" s="913"/>
      <c r="BX3" s="913"/>
      <c r="BY3" s="913"/>
      <c r="BZ3" s="913"/>
      <c r="CA3" s="913"/>
      <c r="CB3" s="913"/>
      <c r="CC3" s="913"/>
      <c r="CD3" s="913"/>
      <c r="CE3" s="913"/>
      <c r="CF3" s="913"/>
      <c r="CG3" s="913"/>
      <c r="CH3" s="913"/>
      <c r="CI3" s="913"/>
      <c r="CJ3" s="913"/>
      <c r="CK3" s="913"/>
      <c r="CL3" s="913"/>
      <c r="CM3" s="913"/>
      <c r="CN3" s="913"/>
      <c r="CO3" s="913"/>
      <c r="CP3" s="913"/>
      <c r="CQ3" s="913"/>
      <c r="CR3" s="913"/>
      <c r="CS3" s="913"/>
      <c r="CT3" s="913"/>
      <c r="CU3" s="913"/>
      <c r="CV3" s="913"/>
      <c r="CW3" s="913"/>
      <c r="CX3" s="913"/>
      <c r="CY3" s="913"/>
      <c r="CZ3" s="913"/>
      <c r="DA3" s="913"/>
      <c r="DB3" s="913"/>
      <c r="DC3"/>
      <c r="DD3"/>
      <c r="DE3"/>
    </row>
    <row r="4" spans="1:208" ht="15" hidden="1">
      <c r="G4" s="913" t="s">
        <v>297</v>
      </c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913"/>
      <c r="U4" s="913"/>
      <c r="V4" s="913"/>
      <c r="W4" s="913"/>
      <c r="X4" s="913"/>
      <c r="Y4" s="913"/>
      <c r="Z4" s="913"/>
      <c r="AA4" s="913"/>
      <c r="AB4" s="913"/>
      <c r="AC4" s="913"/>
      <c r="AD4" s="913"/>
      <c r="AE4" s="913"/>
      <c r="AF4" s="913"/>
      <c r="AG4" s="913"/>
      <c r="AH4" s="913"/>
      <c r="AI4" s="913"/>
      <c r="AJ4" s="913"/>
      <c r="AK4" s="913"/>
      <c r="AL4" s="913"/>
      <c r="AM4" s="913"/>
      <c r="AN4" s="913"/>
      <c r="AO4" s="913"/>
      <c r="AP4" s="913"/>
      <c r="AQ4" s="913"/>
      <c r="AR4" s="913"/>
      <c r="AS4" s="913"/>
      <c r="AT4" s="913"/>
      <c r="AU4" s="913"/>
      <c r="AV4" s="913"/>
      <c r="AW4" s="913"/>
      <c r="AX4" s="913"/>
      <c r="AY4" s="913"/>
      <c r="AZ4" s="913"/>
      <c r="BA4" s="913"/>
      <c r="BB4" s="913"/>
      <c r="BC4" s="913"/>
      <c r="BD4" s="913"/>
      <c r="BE4" s="913"/>
      <c r="BF4" s="913"/>
      <c r="BG4" s="913"/>
      <c r="BH4" s="913"/>
      <c r="BI4" s="913"/>
      <c r="BJ4" s="913"/>
      <c r="BK4" s="913"/>
      <c r="BL4" s="913"/>
      <c r="BM4" s="913"/>
      <c r="BN4" s="913"/>
      <c r="BO4" s="913"/>
      <c r="BP4" s="913"/>
      <c r="BQ4" s="913"/>
      <c r="BR4" s="913"/>
      <c r="BS4" s="913"/>
      <c r="BT4" s="913"/>
      <c r="BU4" s="913"/>
      <c r="BV4" s="913"/>
      <c r="BW4" s="913"/>
      <c r="BX4" s="913"/>
      <c r="BY4" s="913"/>
      <c r="BZ4" s="913"/>
      <c r="CA4" s="913"/>
      <c r="CB4" s="913"/>
      <c r="CC4" s="913"/>
      <c r="CD4" s="913"/>
      <c r="CE4" s="913"/>
      <c r="CF4" s="913"/>
      <c r="CG4" s="913"/>
      <c r="CH4" s="913"/>
      <c r="CI4" s="913"/>
      <c r="CJ4" s="913"/>
      <c r="CK4" s="913"/>
      <c r="CL4" s="913"/>
      <c r="CM4" s="913"/>
      <c r="CN4" s="913"/>
      <c r="CO4" s="913"/>
      <c r="CP4" s="913"/>
      <c r="CQ4" s="913"/>
      <c r="CR4" s="913"/>
      <c r="CS4" s="913"/>
      <c r="CT4" s="913"/>
      <c r="CU4" s="913"/>
      <c r="CV4" s="913"/>
      <c r="CW4" s="913"/>
      <c r="CX4" s="913"/>
      <c r="CY4" s="913"/>
      <c r="CZ4" s="913"/>
      <c r="DA4" s="913"/>
      <c r="DB4" s="913"/>
      <c r="DC4"/>
      <c r="DD4"/>
      <c r="DE4"/>
    </row>
    <row r="5" spans="1:208" ht="15" hidden="1">
      <c r="G5" s="913" t="s">
        <v>304</v>
      </c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  <c r="AN5" s="913"/>
      <c r="AO5" s="913"/>
      <c r="AP5" s="913"/>
      <c r="AQ5" s="913"/>
      <c r="AR5" s="913"/>
      <c r="AS5" s="913"/>
      <c r="AT5" s="913"/>
      <c r="AU5" s="913"/>
      <c r="AV5" s="913"/>
      <c r="AW5" s="913"/>
      <c r="AX5" s="913"/>
      <c r="AY5" s="913"/>
      <c r="AZ5" s="913"/>
      <c r="BA5" s="913"/>
      <c r="BB5" s="913"/>
      <c r="BC5" s="913"/>
      <c r="BD5" s="913"/>
      <c r="BE5" s="913"/>
      <c r="BF5" s="913"/>
      <c r="BG5" s="913"/>
      <c r="BH5" s="913"/>
      <c r="BI5" s="913"/>
      <c r="BJ5" s="913"/>
      <c r="BK5" s="913"/>
      <c r="BL5" s="913"/>
      <c r="BM5" s="913"/>
      <c r="BN5" s="913"/>
      <c r="BO5" s="913"/>
      <c r="BP5" s="913"/>
      <c r="BQ5" s="913"/>
      <c r="BR5" s="913"/>
      <c r="BS5" s="913"/>
      <c r="BT5" s="913"/>
      <c r="BU5" s="913"/>
      <c r="BV5" s="913"/>
      <c r="BW5" s="913"/>
      <c r="BX5" s="913"/>
      <c r="BY5" s="913"/>
      <c r="BZ5" s="913"/>
      <c r="CA5" s="913"/>
      <c r="CB5" s="913"/>
      <c r="CC5" s="913"/>
      <c r="CD5" s="913"/>
      <c r="CE5" s="913"/>
      <c r="CF5" s="913"/>
      <c r="CG5" s="913"/>
      <c r="CH5" s="913"/>
      <c r="CI5" s="913"/>
      <c r="CJ5" s="913"/>
      <c r="CK5" s="913"/>
      <c r="CL5" s="913"/>
      <c r="CM5" s="913"/>
      <c r="CN5" s="913"/>
      <c r="CO5" s="913"/>
      <c r="CP5" s="913"/>
      <c r="CQ5" s="913"/>
      <c r="CR5" s="913"/>
      <c r="CS5" s="913"/>
      <c r="CT5" s="913"/>
      <c r="CU5" s="913"/>
      <c r="CV5" s="913"/>
      <c r="CW5" s="913"/>
      <c r="CX5" s="913"/>
      <c r="CY5" s="913"/>
      <c r="CZ5" s="913"/>
      <c r="DA5" s="913"/>
      <c r="DB5" s="913"/>
      <c r="DC5"/>
      <c r="DD5"/>
      <c r="DE5"/>
    </row>
    <row r="6" spans="1:208" hidden="1"/>
    <row r="7" spans="1:208" ht="15">
      <c r="F7" s="913" t="s">
        <v>295</v>
      </c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3"/>
      <c r="R7" s="913"/>
      <c r="S7" s="913"/>
      <c r="T7" s="913"/>
      <c r="U7" s="913"/>
      <c r="V7" s="913"/>
      <c r="W7" s="913"/>
      <c r="X7" s="913"/>
      <c r="Y7" s="913"/>
      <c r="Z7" s="913"/>
      <c r="AA7" s="913"/>
      <c r="AB7" s="913"/>
      <c r="AC7" s="913"/>
      <c r="AD7" s="913"/>
      <c r="AE7" s="913"/>
      <c r="AF7" s="913"/>
      <c r="AG7" s="913"/>
      <c r="AH7" s="913"/>
      <c r="AI7" s="913"/>
      <c r="AJ7" s="913"/>
      <c r="AK7" s="913"/>
      <c r="AL7" s="913"/>
      <c r="AM7" s="913"/>
      <c r="AN7" s="913"/>
      <c r="AO7" s="913"/>
      <c r="AP7" s="913"/>
      <c r="AQ7" s="913"/>
      <c r="AR7" s="913"/>
      <c r="AS7" s="913"/>
      <c r="AT7" s="913"/>
      <c r="AU7" s="913"/>
      <c r="AV7" s="913"/>
      <c r="AW7" s="913"/>
      <c r="AX7" s="913"/>
      <c r="AY7" s="913"/>
      <c r="AZ7" s="913"/>
      <c r="BA7" s="913"/>
      <c r="BB7" s="913"/>
      <c r="BC7" s="913"/>
      <c r="BD7" s="913"/>
      <c r="BE7" s="913"/>
      <c r="BF7" s="913"/>
      <c r="BG7" s="913"/>
      <c r="BH7" s="913"/>
      <c r="BI7" s="913"/>
      <c r="BJ7" s="913"/>
      <c r="BK7" s="913"/>
      <c r="BL7" s="913"/>
      <c r="BM7" s="913"/>
      <c r="BN7" s="913"/>
      <c r="BO7" s="913"/>
      <c r="BP7" s="913"/>
      <c r="BQ7" s="913"/>
      <c r="BR7" s="913"/>
      <c r="BS7" s="913"/>
      <c r="BT7" s="913"/>
      <c r="BU7" s="913"/>
      <c r="BV7" s="913"/>
      <c r="BW7" s="913"/>
      <c r="BX7" s="913"/>
      <c r="BY7" s="913"/>
      <c r="BZ7" s="913"/>
      <c r="CA7" s="913"/>
      <c r="CB7" s="913"/>
      <c r="CC7" s="913"/>
      <c r="CD7" s="913"/>
      <c r="CE7" s="913"/>
      <c r="CF7" s="913"/>
      <c r="CG7" s="913"/>
      <c r="CH7" s="913"/>
      <c r="CI7" s="913"/>
      <c r="CJ7" s="913"/>
      <c r="CK7" s="913"/>
      <c r="CL7" s="913"/>
      <c r="CM7" s="913"/>
      <c r="CN7" s="913"/>
      <c r="CO7" s="913"/>
      <c r="CP7" s="913"/>
      <c r="CQ7" s="913"/>
      <c r="CR7" s="913"/>
      <c r="CS7" s="913"/>
      <c r="CT7" s="913"/>
      <c r="CU7" s="913"/>
      <c r="CV7" s="913"/>
      <c r="CW7" s="913"/>
      <c r="CX7" s="913"/>
      <c r="CY7" s="913"/>
      <c r="CZ7" s="913"/>
      <c r="DA7" s="913"/>
      <c r="DB7"/>
      <c r="DC7" s="913" t="s">
        <v>295</v>
      </c>
      <c r="DD7" s="913"/>
      <c r="DE7" s="913"/>
      <c r="DF7" s="774"/>
      <c r="DG7" s="774"/>
      <c r="DH7" s="774"/>
      <c r="DI7" s="774"/>
      <c r="DJ7" s="774"/>
      <c r="DK7" s="774"/>
      <c r="DL7" s="774"/>
      <c r="DM7" s="774"/>
      <c r="DN7" s="774"/>
      <c r="DO7" s="774"/>
      <c r="DP7" s="774"/>
      <c r="DQ7" s="774"/>
      <c r="DR7" s="774"/>
      <c r="DS7" s="774"/>
      <c r="DT7" s="774"/>
      <c r="DU7" s="774"/>
      <c r="DV7" s="774"/>
      <c r="DW7" s="774"/>
      <c r="DX7" s="774"/>
      <c r="DY7" s="774"/>
      <c r="DZ7" s="774"/>
      <c r="EA7" s="774"/>
      <c r="EB7" s="774"/>
      <c r="EC7" s="774"/>
      <c r="ED7" s="774"/>
      <c r="EE7" s="774"/>
      <c r="EF7" s="774"/>
      <c r="EG7" s="774"/>
      <c r="EH7" s="774"/>
      <c r="EI7" s="774"/>
      <c r="EJ7" s="774"/>
      <c r="EK7" s="774"/>
      <c r="EL7" s="774"/>
      <c r="EM7" s="774"/>
      <c r="EN7" s="774"/>
      <c r="EO7" s="774"/>
      <c r="EP7" s="774"/>
      <c r="EQ7" s="774"/>
      <c r="ER7" s="774"/>
      <c r="ES7" s="774"/>
      <c r="ET7" s="774"/>
      <c r="EU7" s="774"/>
      <c r="EV7" s="774"/>
      <c r="EW7" s="774"/>
      <c r="EX7" s="774"/>
      <c r="EY7" s="774"/>
      <c r="EZ7" s="774"/>
      <c r="FA7" s="774"/>
      <c r="FB7" s="774"/>
      <c r="FC7" s="774"/>
      <c r="FD7" s="774"/>
      <c r="FE7" s="774"/>
      <c r="FF7" s="774"/>
      <c r="FG7" s="774"/>
      <c r="FH7" s="774"/>
      <c r="FI7" s="774"/>
      <c r="FJ7" s="774"/>
      <c r="FK7" s="774"/>
      <c r="FL7" s="774"/>
      <c r="FM7" s="774"/>
      <c r="FN7" s="774"/>
      <c r="FO7" s="774"/>
      <c r="FP7" s="774"/>
      <c r="FQ7" s="774"/>
      <c r="FR7" s="774"/>
      <c r="FS7" s="774"/>
      <c r="FT7" s="774"/>
      <c r="FU7" s="774"/>
      <c r="FV7" s="774"/>
      <c r="FW7" s="774"/>
      <c r="FX7" s="774"/>
      <c r="FY7" s="774"/>
      <c r="FZ7" s="774"/>
      <c r="GA7" s="774"/>
      <c r="GB7" s="774"/>
      <c r="GC7" s="774"/>
      <c r="GD7" s="774"/>
      <c r="GE7" s="774"/>
      <c r="GF7" s="774"/>
      <c r="GG7" s="774"/>
      <c r="GH7" s="774"/>
      <c r="GI7" s="774"/>
      <c r="GJ7" s="774"/>
      <c r="GK7" s="774"/>
      <c r="GL7" s="774"/>
      <c r="GM7" s="774"/>
      <c r="GN7" s="774"/>
      <c r="GO7" s="774"/>
      <c r="GP7" s="774"/>
      <c r="GQ7" s="774"/>
      <c r="GR7" s="774"/>
      <c r="GS7" s="774"/>
      <c r="GT7" s="774"/>
      <c r="GU7" s="774"/>
      <c r="GV7" s="774"/>
      <c r="GW7" s="774"/>
      <c r="GX7" s="774"/>
      <c r="GY7" s="774"/>
      <c r="GZ7" s="774"/>
    </row>
    <row r="8" spans="1:208" ht="15">
      <c r="F8" s="913" t="s">
        <v>303</v>
      </c>
      <c r="G8" s="913"/>
      <c r="H8" s="913"/>
      <c r="I8" s="913"/>
      <c r="J8" s="913"/>
      <c r="K8" s="913"/>
      <c r="L8" s="913"/>
      <c r="M8" s="913"/>
      <c r="N8" s="913"/>
      <c r="O8" s="913"/>
      <c r="P8" s="913"/>
      <c r="Q8" s="913"/>
      <c r="R8" s="913"/>
      <c r="S8" s="913"/>
      <c r="T8" s="913"/>
      <c r="U8" s="913"/>
      <c r="V8" s="913"/>
      <c r="W8" s="913"/>
      <c r="X8" s="913"/>
      <c r="Y8" s="913"/>
      <c r="Z8" s="913"/>
      <c r="AA8" s="913"/>
      <c r="AB8" s="913"/>
      <c r="AC8" s="913"/>
      <c r="AD8" s="913"/>
      <c r="AE8" s="913"/>
      <c r="AF8" s="913"/>
      <c r="AG8" s="913"/>
      <c r="AH8" s="913"/>
      <c r="AI8" s="913"/>
      <c r="AJ8" s="913"/>
      <c r="AK8" s="913"/>
      <c r="AL8" s="913"/>
      <c r="AM8" s="913"/>
      <c r="AN8" s="913"/>
      <c r="AO8" s="913"/>
      <c r="AP8" s="913"/>
      <c r="AQ8" s="913"/>
      <c r="AR8" s="913"/>
      <c r="AS8" s="913"/>
      <c r="AT8" s="913"/>
      <c r="AU8" s="913"/>
      <c r="AV8" s="913"/>
      <c r="AW8" s="913"/>
      <c r="AX8" s="913"/>
      <c r="AY8" s="913"/>
      <c r="AZ8" s="913"/>
      <c r="BA8" s="913"/>
      <c r="BB8" s="913"/>
      <c r="BC8" s="913"/>
      <c r="BD8" s="913"/>
      <c r="BE8" s="913"/>
      <c r="BF8" s="913"/>
      <c r="BG8" s="913"/>
      <c r="BH8" s="913"/>
      <c r="BI8" s="913"/>
      <c r="BJ8" s="913"/>
      <c r="BK8" s="913"/>
      <c r="BL8" s="913"/>
      <c r="BM8" s="913"/>
      <c r="BN8" s="913"/>
      <c r="BO8" s="913"/>
      <c r="BP8" s="913"/>
      <c r="BQ8" s="913"/>
      <c r="BR8" s="913"/>
      <c r="BS8" s="913"/>
      <c r="BT8" s="913"/>
      <c r="BU8" s="913"/>
      <c r="BV8" s="913"/>
      <c r="BW8" s="913"/>
      <c r="BX8" s="913"/>
      <c r="BY8" s="913"/>
      <c r="BZ8" s="913"/>
      <c r="CA8" s="913"/>
      <c r="CB8" s="913"/>
      <c r="CC8" s="913"/>
      <c r="CD8" s="913"/>
      <c r="CE8" s="913"/>
      <c r="CF8" s="913"/>
      <c r="CG8" s="913"/>
      <c r="CH8" s="913"/>
      <c r="CI8" s="913"/>
      <c r="CJ8" s="913"/>
      <c r="CK8" s="913"/>
      <c r="CL8" s="913"/>
      <c r="CM8" s="913"/>
      <c r="CN8" s="913"/>
      <c r="CO8" s="913"/>
      <c r="CP8" s="913"/>
      <c r="CQ8" s="913"/>
      <c r="CR8" s="913"/>
      <c r="CS8" s="913"/>
      <c r="CT8" s="913"/>
      <c r="CU8" s="913"/>
      <c r="CV8" s="913"/>
      <c r="CW8" s="913"/>
      <c r="CX8" s="913"/>
      <c r="CY8" s="913"/>
      <c r="CZ8" s="913"/>
      <c r="DA8" s="913"/>
      <c r="DB8"/>
      <c r="DC8" s="913" t="s">
        <v>303</v>
      </c>
      <c r="DD8" s="913"/>
      <c r="DE8" s="913"/>
      <c r="DF8" s="774"/>
      <c r="DG8" s="774"/>
      <c r="DH8" s="774"/>
      <c r="DI8" s="774"/>
      <c r="DJ8" s="774"/>
      <c r="DK8" s="774"/>
      <c r="DL8" s="774"/>
      <c r="DM8" s="774"/>
      <c r="DN8" s="774"/>
      <c r="DO8" s="774"/>
      <c r="DP8" s="774"/>
      <c r="DQ8" s="774"/>
      <c r="DR8" s="774"/>
      <c r="DS8" s="774"/>
      <c r="DT8" s="774"/>
      <c r="DU8" s="774"/>
      <c r="DV8" s="774"/>
      <c r="DW8" s="774"/>
      <c r="DX8" s="774"/>
      <c r="DY8" s="774"/>
      <c r="DZ8" s="774"/>
      <c r="EA8" s="774"/>
      <c r="EB8" s="774"/>
      <c r="EC8" s="774"/>
      <c r="ED8" s="774"/>
      <c r="EE8" s="774"/>
      <c r="EF8" s="774"/>
      <c r="EG8" s="774"/>
      <c r="EH8" s="774"/>
      <c r="EI8" s="774"/>
      <c r="EJ8" s="774"/>
      <c r="EK8" s="774"/>
      <c r="EL8" s="774"/>
      <c r="EM8" s="774"/>
      <c r="EN8" s="774"/>
      <c r="EO8" s="774"/>
      <c r="EP8" s="774"/>
      <c r="EQ8" s="774"/>
      <c r="ER8" s="774"/>
      <c r="ES8" s="774"/>
      <c r="ET8" s="774"/>
      <c r="EU8" s="774"/>
      <c r="EV8" s="774"/>
      <c r="EW8" s="774"/>
      <c r="EX8" s="774"/>
      <c r="EY8" s="774"/>
      <c r="EZ8" s="774"/>
      <c r="FA8" s="774"/>
      <c r="FB8" s="774"/>
      <c r="FC8" s="774"/>
      <c r="FD8" s="774"/>
      <c r="FE8" s="774"/>
      <c r="FF8" s="774"/>
      <c r="FG8" s="774"/>
      <c r="FH8" s="774"/>
      <c r="FI8" s="774"/>
      <c r="FJ8" s="774"/>
      <c r="FK8" s="774"/>
      <c r="FL8" s="774"/>
      <c r="FM8" s="774"/>
      <c r="FN8" s="774"/>
      <c r="FO8" s="774"/>
      <c r="FP8" s="774"/>
      <c r="FQ8" s="774"/>
      <c r="FR8" s="774"/>
      <c r="FS8" s="774"/>
      <c r="FT8" s="774"/>
      <c r="FU8" s="774"/>
      <c r="FV8" s="774"/>
      <c r="FW8" s="774"/>
      <c r="FX8" s="774"/>
      <c r="FY8" s="774"/>
      <c r="FZ8" s="774"/>
      <c r="GA8" s="774"/>
      <c r="GB8" s="774"/>
      <c r="GC8" s="774"/>
      <c r="GD8" s="774"/>
      <c r="GE8" s="774"/>
      <c r="GF8" s="774"/>
      <c r="GG8" s="774"/>
      <c r="GH8" s="774"/>
      <c r="GI8" s="774"/>
      <c r="GJ8" s="774"/>
      <c r="GK8" s="774"/>
      <c r="GL8" s="774"/>
      <c r="GM8" s="774"/>
      <c r="GN8" s="774"/>
      <c r="GO8" s="774"/>
      <c r="GP8" s="774"/>
      <c r="GQ8" s="774"/>
      <c r="GR8" s="774"/>
      <c r="GS8" s="774"/>
      <c r="GT8" s="774"/>
      <c r="GU8" s="774"/>
      <c r="GV8" s="774"/>
      <c r="GW8" s="774"/>
      <c r="GX8" s="774"/>
      <c r="GY8" s="774"/>
      <c r="GZ8" s="774"/>
    </row>
    <row r="9" spans="1:208" ht="15">
      <c r="F9" s="913" t="s">
        <v>296</v>
      </c>
      <c r="G9" s="913"/>
      <c r="H9" s="913"/>
      <c r="I9" s="913"/>
      <c r="J9" s="913"/>
      <c r="K9" s="913"/>
      <c r="L9" s="913"/>
      <c r="M9" s="913"/>
      <c r="N9" s="913"/>
      <c r="O9" s="913"/>
      <c r="P9" s="913"/>
      <c r="Q9" s="913"/>
      <c r="R9" s="913"/>
      <c r="S9" s="913"/>
      <c r="T9" s="913"/>
      <c r="U9" s="913"/>
      <c r="V9" s="913"/>
      <c r="W9" s="913"/>
      <c r="X9" s="913"/>
      <c r="Y9" s="913"/>
      <c r="Z9" s="913"/>
      <c r="AA9" s="913"/>
      <c r="AB9" s="913"/>
      <c r="AC9" s="913"/>
      <c r="AD9" s="913"/>
      <c r="AE9" s="913"/>
      <c r="AF9" s="913"/>
      <c r="AG9" s="913"/>
      <c r="AH9" s="913"/>
      <c r="AI9" s="913"/>
      <c r="AJ9" s="913"/>
      <c r="AK9" s="913"/>
      <c r="AL9" s="913"/>
      <c r="AM9" s="913"/>
      <c r="AN9" s="913"/>
      <c r="AO9" s="913"/>
      <c r="AP9" s="913"/>
      <c r="AQ9" s="913"/>
      <c r="AR9" s="913"/>
      <c r="AS9" s="913"/>
      <c r="AT9" s="913"/>
      <c r="AU9" s="913"/>
      <c r="AV9" s="913"/>
      <c r="AW9" s="913"/>
      <c r="AX9" s="913"/>
      <c r="AY9" s="913"/>
      <c r="AZ9" s="913"/>
      <c r="BA9" s="913"/>
      <c r="BB9" s="913"/>
      <c r="BC9" s="913"/>
      <c r="BD9" s="913"/>
      <c r="BE9" s="913"/>
      <c r="BF9" s="913"/>
      <c r="BG9" s="913"/>
      <c r="BH9" s="913"/>
      <c r="BI9" s="913"/>
      <c r="BJ9" s="913"/>
      <c r="BK9" s="913"/>
      <c r="BL9" s="913"/>
      <c r="BM9" s="913"/>
      <c r="BN9" s="913"/>
      <c r="BO9" s="913"/>
      <c r="BP9" s="913"/>
      <c r="BQ9" s="913"/>
      <c r="BR9" s="913"/>
      <c r="BS9" s="913"/>
      <c r="BT9" s="913"/>
      <c r="BU9" s="913"/>
      <c r="BV9" s="913"/>
      <c r="BW9" s="913"/>
      <c r="BX9" s="913"/>
      <c r="BY9" s="913"/>
      <c r="BZ9" s="913"/>
      <c r="CA9" s="913"/>
      <c r="CB9" s="913"/>
      <c r="CC9" s="913"/>
      <c r="CD9" s="913"/>
      <c r="CE9" s="913"/>
      <c r="CF9" s="913"/>
      <c r="CG9" s="913"/>
      <c r="CH9" s="913"/>
      <c r="CI9" s="913"/>
      <c r="CJ9" s="913"/>
      <c r="CK9" s="913"/>
      <c r="CL9" s="913"/>
      <c r="CM9" s="913"/>
      <c r="CN9" s="913"/>
      <c r="CO9" s="913"/>
      <c r="CP9" s="913"/>
      <c r="CQ9" s="913"/>
      <c r="CR9" s="913"/>
      <c r="CS9" s="913"/>
      <c r="CT9" s="913"/>
      <c r="CU9" s="913"/>
      <c r="CV9" s="913"/>
      <c r="CW9" s="913"/>
      <c r="CX9" s="913"/>
      <c r="CY9" s="913"/>
      <c r="CZ9" s="913"/>
      <c r="DA9" s="913"/>
      <c r="DB9"/>
      <c r="DC9" s="913" t="s">
        <v>296</v>
      </c>
      <c r="DD9" s="913"/>
      <c r="DE9" s="913"/>
      <c r="DF9" s="774"/>
      <c r="DG9" s="774"/>
      <c r="DH9" s="774"/>
      <c r="DI9" s="774"/>
      <c r="DJ9" s="774"/>
      <c r="DK9" s="774"/>
      <c r="DL9" s="774"/>
      <c r="DM9" s="774"/>
      <c r="DN9" s="774"/>
      <c r="DO9" s="774"/>
      <c r="DP9" s="774"/>
      <c r="DQ9" s="774"/>
      <c r="DR9" s="774"/>
      <c r="DS9" s="774"/>
      <c r="DT9" s="774"/>
      <c r="DU9" s="774"/>
      <c r="DV9" s="774"/>
      <c r="DW9" s="774"/>
      <c r="DX9" s="774"/>
      <c r="DY9" s="774"/>
      <c r="DZ9" s="774"/>
      <c r="EA9" s="774"/>
      <c r="EB9" s="774"/>
      <c r="EC9" s="774"/>
      <c r="ED9" s="774"/>
      <c r="EE9" s="774"/>
      <c r="EF9" s="774"/>
      <c r="EG9" s="774"/>
      <c r="EH9" s="774"/>
      <c r="EI9" s="774"/>
      <c r="EJ9" s="774"/>
      <c r="EK9" s="774"/>
      <c r="EL9" s="774"/>
      <c r="EM9" s="774"/>
      <c r="EN9" s="774"/>
      <c r="EO9" s="774"/>
      <c r="EP9" s="774"/>
      <c r="EQ9" s="774"/>
      <c r="ER9" s="774"/>
      <c r="ES9" s="774"/>
      <c r="ET9" s="774"/>
      <c r="EU9" s="774"/>
      <c r="EV9" s="774"/>
      <c r="EW9" s="774"/>
      <c r="EX9" s="774"/>
      <c r="EY9" s="774"/>
      <c r="EZ9" s="774"/>
      <c r="FA9" s="774"/>
      <c r="FB9" s="774"/>
      <c r="FC9" s="774"/>
      <c r="FD9" s="774"/>
      <c r="FE9" s="774"/>
      <c r="FF9" s="774"/>
      <c r="FG9" s="774"/>
      <c r="FH9" s="774"/>
      <c r="FI9" s="774"/>
      <c r="FJ9" s="774"/>
      <c r="FK9" s="774"/>
      <c r="FL9" s="774"/>
      <c r="FM9" s="774"/>
      <c r="FN9" s="774"/>
      <c r="FO9" s="774"/>
      <c r="FP9" s="774"/>
      <c r="FQ9" s="774"/>
      <c r="FR9" s="774"/>
      <c r="FS9" s="774"/>
      <c r="FT9" s="774"/>
      <c r="FU9" s="774"/>
      <c r="FV9" s="774"/>
      <c r="FW9" s="774"/>
      <c r="FX9" s="774"/>
      <c r="FY9" s="774"/>
      <c r="FZ9" s="774"/>
      <c r="GA9" s="774"/>
      <c r="GB9" s="774"/>
      <c r="GC9" s="774"/>
      <c r="GD9" s="774"/>
      <c r="GE9" s="774"/>
      <c r="GF9" s="774"/>
      <c r="GG9" s="774"/>
      <c r="GH9" s="774"/>
      <c r="GI9" s="774"/>
      <c r="GJ9" s="774"/>
      <c r="GK9" s="774"/>
      <c r="GL9" s="774"/>
      <c r="GM9" s="774"/>
      <c r="GN9" s="774"/>
      <c r="GO9" s="774"/>
      <c r="GP9" s="774"/>
      <c r="GQ9" s="774"/>
      <c r="GR9" s="774"/>
      <c r="GS9" s="774"/>
      <c r="GT9" s="774"/>
      <c r="GU9" s="774"/>
      <c r="GV9" s="774"/>
      <c r="GW9" s="774"/>
      <c r="GX9" s="774"/>
      <c r="GY9" s="774"/>
      <c r="GZ9" s="774"/>
    </row>
    <row r="10" spans="1:208" ht="15">
      <c r="F10" s="913" t="s">
        <v>297</v>
      </c>
      <c r="G10" s="913"/>
      <c r="H10" s="913"/>
      <c r="I10" s="913"/>
      <c r="J10" s="913"/>
      <c r="K10" s="913"/>
      <c r="L10" s="913"/>
      <c r="M10" s="913"/>
      <c r="N10" s="913"/>
      <c r="O10" s="913"/>
      <c r="P10" s="913"/>
      <c r="Q10" s="913"/>
      <c r="R10" s="913"/>
      <c r="S10" s="913"/>
      <c r="T10" s="913"/>
      <c r="U10" s="913"/>
      <c r="V10" s="913"/>
      <c r="W10" s="913"/>
      <c r="X10" s="913"/>
      <c r="Y10" s="913"/>
      <c r="Z10" s="913"/>
      <c r="AA10" s="913"/>
      <c r="AB10" s="913"/>
      <c r="AC10" s="913"/>
      <c r="AD10" s="913"/>
      <c r="AE10" s="913"/>
      <c r="AF10" s="913"/>
      <c r="AG10" s="913"/>
      <c r="AH10" s="913"/>
      <c r="AI10" s="913"/>
      <c r="AJ10" s="913"/>
      <c r="AK10" s="913"/>
      <c r="AL10" s="913"/>
      <c r="AM10" s="913"/>
      <c r="AN10" s="913"/>
      <c r="AO10" s="913"/>
      <c r="AP10" s="913"/>
      <c r="AQ10" s="913"/>
      <c r="AR10" s="913"/>
      <c r="AS10" s="913"/>
      <c r="AT10" s="913"/>
      <c r="AU10" s="913"/>
      <c r="AV10" s="913"/>
      <c r="AW10" s="913"/>
      <c r="AX10" s="913"/>
      <c r="AY10" s="913"/>
      <c r="AZ10" s="913"/>
      <c r="BA10" s="913"/>
      <c r="BB10" s="913"/>
      <c r="BC10" s="913"/>
      <c r="BD10" s="913"/>
      <c r="BE10" s="913"/>
      <c r="BF10" s="913"/>
      <c r="BG10" s="913"/>
      <c r="BH10" s="913"/>
      <c r="BI10" s="913"/>
      <c r="BJ10" s="913"/>
      <c r="BK10" s="913"/>
      <c r="BL10" s="913"/>
      <c r="BM10" s="913"/>
      <c r="BN10" s="913"/>
      <c r="BO10" s="913"/>
      <c r="BP10" s="913"/>
      <c r="BQ10" s="913"/>
      <c r="BR10" s="913"/>
      <c r="BS10" s="913"/>
      <c r="BT10" s="913"/>
      <c r="BU10" s="913"/>
      <c r="BV10" s="913"/>
      <c r="BW10" s="913"/>
      <c r="BX10" s="913"/>
      <c r="BY10" s="913"/>
      <c r="BZ10" s="913"/>
      <c r="CA10" s="913"/>
      <c r="CB10" s="913"/>
      <c r="CC10" s="913"/>
      <c r="CD10" s="913"/>
      <c r="CE10" s="913"/>
      <c r="CF10" s="913"/>
      <c r="CG10" s="913"/>
      <c r="CH10" s="913"/>
      <c r="CI10" s="913"/>
      <c r="CJ10" s="913"/>
      <c r="CK10" s="913"/>
      <c r="CL10" s="913"/>
      <c r="CM10" s="913"/>
      <c r="CN10" s="913"/>
      <c r="CO10" s="913"/>
      <c r="CP10" s="913"/>
      <c r="CQ10" s="913"/>
      <c r="CR10" s="913"/>
      <c r="CS10" s="913"/>
      <c r="CT10" s="913"/>
      <c r="CU10" s="913"/>
      <c r="CV10" s="913"/>
      <c r="CW10" s="913"/>
      <c r="CX10" s="913"/>
      <c r="CY10" s="913"/>
      <c r="CZ10" s="913"/>
      <c r="DA10" s="913"/>
      <c r="DB10"/>
      <c r="DC10" s="913" t="s">
        <v>297</v>
      </c>
      <c r="DD10" s="913"/>
      <c r="DE10" s="913"/>
      <c r="DF10" s="774"/>
      <c r="DG10" s="774"/>
      <c r="DH10" s="774"/>
      <c r="DI10" s="774"/>
      <c r="DJ10" s="774"/>
      <c r="DK10" s="774"/>
      <c r="DL10" s="774"/>
      <c r="DM10" s="774"/>
      <c r="DN10" s="774"/>
      <c r="DO10" s="774"/>
      <c r="DP10" s="774"/>
      <c r="DQ10" s="774"/>
      <c r="DR10" s="774"/>
      <c r="DS10" s="774"/>
      <c r="DT10" s="774"/>
      <c r="DU10" s="774"/>
      <c r="DV10" s="774"/>
      <c r="DW10" s="774"/>
      <c r="DX10" s="774"/>
      <c r="DY10" s="774"/>
      <c r="DZ10" s="774"/>
      <c r="EA10" s="774"/>
      <c r="EB10" s="774"/>
      <c r="EC10" s="774"/>
      <c r="ED10" s="774"/>
      <c r="EE10" s="774"/>
      <c r="EF10" s="774"/>
      <c r="EG10" s="774"/>
      <c r="EH10" s="774"/>
      <c r="EI10" s="774"/>
      <c r="EJ10" s="774"/>
      <c r="EK10" s="774"/>
      <c r="EL10" s="774"/>
      <c r="EM10" s="774"/>
      <c r="EN10" s="774"/>
      <c r="EO10" s="774"/>
      <c r="EP10" s="774"/>
      <c r="EQ10" s="774"/>
      <c r="ER10" s="774"/>
      <c r="ES10" s="774"/>
      <c r="ET10" s="774"/>
      <c r="EU10" s="774"/>
      <c r="EV10" s="774"/>
      <c r="EW10" s="774"/>
      <c r="EX10" s="774"/>
      <c r="EY10" s="774"/>
      <c r="EZ10" s="774"/>
      <c r="FA10" s="774"/>
      <c r="FB10" s="774"/>
      <c r="FC10" s="774"/>
      <c r="FD10" s="774"/>
      <c r="FE10" s="774"/>
      <c r="FF10" s="774"/>
      <c r="FG10" s="774"/>
      <c r="FH10" s="774"/>
      <c r="FI10" s="774"/>
      <c r="FJ10" s="774"/>
      <c r="FK10" s="774"/>
      <c r="FL10" s="774"/>
      <c r="FM10" s="774"/>
      <c r="FN10" s="774"/>
      <c r="FO10" s="774"/>
      <c r="FP10" s="774"/>
      <c r="FQ10" s="774"/>
      <c r="FR10" s="774"/>
      <c r="FS10" s="774"/>
      <c r="FT10" s="774"/>
      <c r="FU10" s="774"/>
      <c r="FV10" s="774"/>
      <c r="FW10" s="774"/>
      <c r="FX10" s="774"/>
      <c r="FY10" s="774"/>
      <c r="FZ10" s="774"/>
      <c r="GA10" s="774"/>
      <c r="GB10" s="774"/>
      <c r="GC10" s="774"/>
      <c r="GD10" s="774"/>
      <c r="GE10" s="774"/>
      <c r="GF10" s="774"/>
      <c r="GG10" s="774"/>
      <c r="GH10" s="774"/>
      <c r="GI10" s="774"/>
      <c r="GJ10" s="774"/>
      <c r="GK10" s="774"/>
      <c r="GL10" s="774"/>
      <c r="GM10" s="774"/>
      <c r="GN10" s="774"/>
      <c r="GO10" s="774"/>
      <c r="GP10" s="774"/>
      <c r="GQ10" s="774"/>
      <c r="GR10" s="774"/>
      <c r="GS10" s="774"/>
      <c r="GT10" s="774"/>
      <c r="GU10" s="774"/>
      <c r="GV10" s="774"/>
      <c r="GW10" s="774"/>
      <c r="GX10" s="774"/>
      <c r="GY10" s="774"/>
      <c r="GZ10" s="774"/>
    </row>
    <row r="11" spans="1:208" ht="15">
      <c r="C11" s="774"/>
      <c r="D11" s="774"/>
      <c r="E11" s="774"/>
      <c r="F11" s="774"/>
      <c r="G11" s="774"/>
      <c r="H11" s="774"/>
      <c r="I11" s="774"/>
      <c r="J11" s="774"/>
      <c r="K11" s="774"/>
      <c r="L11" s="774"/>
      <c r="M11" s="774"/>
      <c r="N11" s="774"/>
      <c r="O11" s="774"/>
      <c r="P11" s="774"/>
      <c r="Q11" s="774"/>
      <c r="R11" s="774"/>
      <c r="S11" s="774"/>
      <c r="T11" s="774"/>
      <c r="U11" s="774"/>
      <c r="V11" s="774"/>
      <c r="W11" s="774"/>
      <c r="X11" s="774"/>
      <c r="Y11" s="774"/>
      <c r="Z11" s="774"/>
      <c r="AA11" s="774"/>
      <c r="AB11" s="774"/>
      <c r="AC11" s="774"/>
      <c r="AD11" s="774"/>
      <c r="AE11" s="774"/>
      <c r="AF11" s="774"/>
      <c r="AG11" s="774"/>
      <c r="AH11" s="774"/>
      <c r="AI11" s="774"/>
      <c r="AJ11" s="774"/>
      <c r="AK11" s="774"/>
      <c r="AL11" s="774"/>
      <c r="AM11" s="774"/>
      <c r="AN11" s="774"/>
      <c r="AO11" s="774"/>
      <c r="AP11" s="774"/>
      <c r="AQ11" s="774"/>
      <c r="AR11" s="774"/>
      <c r="AS11" s="774"/>
      <c r="AT11" s="774"/>
      <c r="AU11" s="774"/>
      <c r="AV11" s="774"/>
      <c r="AW11" s="774"/>
      <c r="AX11" s="774"/>
      <c r="AY11" s="774"/>
      <c r="AZ11" s="774"/>
      <c r="BA11" s="774"/>
      <c r="BB11" s="774"/>
      <c r="BC11" s="774"/>
      <c r="BD11" s="774"/>
      <c r="BE11" s="774"/>
      <c r="BF11" s="774"/>
      <c r="BG11" s="774"/>
      <c r="BH11" s="774"/>
      <c r="BI11" s="774"/>
      <c r="BJ11" s="774"/>
      <c r="BK11" s="774"/>
      <c r="BL11" s="774"/>
      <c r="BM11" s="774"/>
      <c r="BN11" s="774"/>
      <c r="BO11" s="774"/>
      <c r="BP11" s="774"/>
      <c r="BQ11" s="774"/>
      <c r="BR11" s="774"/>
      <c r="BS11" s="774"/>
      <c r="BT11" s="774"/>
      <c r="BU11" s="774"/>
      <c r="BV11" s="774"/>
      <c r="BW11" s="774"/>
      <c r="BX11" s="774"/>
      <c r="BY11" s="774"/>
      <c r="BZ11" s="774"/>
      <c r="CA11" s="774"/>
      <c r="CB11" s="774"/>
      <c r="CC11" s="774"/>
      <c r="CD11" s="774"/>
      <c r="CE11" s="774"/>
      <c r="CF11" s="774"/>
      <c r="CG11" s="774"/>
      <c r="CH11" s="774"/>
      <c r="CI11" s="774"/>
      <c r="CJ11" s="774"/>
      <c r="CK11" s="774"/>
      <c r="CL11" s="774"/>
      <c r="CM11" s="774"/>
      <c r="CN11" s="774"/>
      <c r="CO11" s="774"/>
      <c r="CP11" s="774"/>
      <c r="CQ11" s="774"/>
      <c r="CR11" s="774"/>
      <c r="CS11" s="774"/>
      <c r="CT11" s="774"/>
      <c r="CU11" s="774"/>
      <c r="CV11" s="774"/>
      <c r="CW11" s="774"/>
      <c r="CX11" s="774"/>
      <c r="CY11" s="774"/>
      <c r="CZ11" s="774"/>
      <c r="DA11" s="774"/>
      <c r="DB11" s="774"/>
      <c r="DC11" s="913" t="s">
        <v>329</v>
      </c>
      <c r="DD11" s="913"/>
      <c r="DE11" s="913"/>
      <c r="DF11" s="774"/>
      <c r="DG11" s="774"/>
      <c r="DH11" s="774"/>
      <c r="DI11" s="774"/>
      <c r="DJ11" s="774"/>
      <c r="DK11" s="774"/>
      <c r="DL11" s="774"/>
      <c r="DM11" s="774"/>
      <c r="DN11" s="774"/>
      <c r="DO11" s="774"/>
      <c r="DP11" s="774"/>
      <c r="DQ11" s="774"/>
      <c r="DR11" s="774"/>
      <c r="DS11" s="774"/>
      <c r="DT11" s="774"/>
      <c r="DU11" s="774"/>
      <c r="DV11" s="774"/>
      <c r="DW11" s="774"/>
      <c r="DX11" s="774"/>
      <c r="DY11" s="774"/>
      <c r="DZ11" s="774"/>
      <c r="EA11" s="774"/>
      <c r="EB11" s="774"/>
      <c r="EC11" s="774"/>
      <c r="ED11" s="774"/>
      <c r="EE11" s="774"/>
      <c r="EF11" s="774"/>
      <c r="EG11" s="774"/>
      <c r="EH11" s="774"/>
      <c r="EI11" s="774"/>
      <c r="EJ11" s="774"/>
      <c r="EK11" s="774"/>
      <c r="EL11" s="774"/>
      <c r="EM11" s="774"/>
      <c r="EN11" s="774"/>
      <c r="EO11" s="774"/>
      <c r="EP11" s="774"/>
      <c r="EQ11" s="774"/>
      <c r="ER11" s="774"/>
      <c r="ES11" s="774"/>
      <c r="ET11" s="774"/>
      <c r="EU11" s="774"/>
      <c r="EV11" s="774"/>
      <c r="EW11" s="774"/>
      <c r="EX11" s="774"/>
      <c r="EY11" s="774"/>
      <c r="EZ11" s="774"/>
      <c r="FA11" s="774"/>
      <c r="FB11" s="774"/>
      <c r="FC11" s="774"/>
      <c r="FD11" s="774"/>
      <c r="FE11" s="774"/>
      <c r="FF11" s="774"/>
      <c r="FG11" s="774"/>
      <c r="FH11" s="774"/>
      <c r="FI11" s="774"/>
      <c r="FJ11" s="774"/>
      <c r="FK11" s="774"/>
      <c r="FL11" s="774"/>
      <c r="FM11" s="774"/>
      <c r="FN11" s="774"/>
      <c r="FO11" s="774"/>
      <c r="FP11" s="774"/>
      <c r="FQ11" s="774"/>
      <c r="FR11" s="774"/>
      <c r="FS11" s="774"/>
      <c r="FT11" s="774"/>
      <c r="FU11" s="774"/>
      <c r="FV11" s="774"/>
      <c r="FW11" s="774"/>
      <c r="FX11" s="774"/>
      <c r="FY11" s="774"/>
      <c r="FZ11" s="774"/>
      <c r="GA11" s="774"/>
      <c r="GB11" s="774"/>
      <c r="GC11" s="774"/>
      <c r="GD11" s="774"/>
      <c r="GE11" s="774"/>
      <c r="GF11" s="774"/>
      <c r="GG11" s="774"/>
      <c r="GH11" s="774"/>
      <c r="GI11" s="774"/>
      <c r="GJ11" s="774"/>
      <c r="GK11" s="774"/>
      <c r="GL11" s="774"/>
      <c r="GM11" s="774"/>
      <c r="GN11" s="774"/>
      <c r="GO11" s="774"/>
      <c r="GP11" s="774"/>
      <c r="GQ11" s="774"/>
      <c r="GR11" s="774"/>
      <c r="GS11" s="774"/>
      <c r="GT11" s="774"/>
      <c r="GU11" s="774"/>
      <c r="GV11" s="774"/>
      <c r="GW11" s="774"/>
      <c r="GX11" s="774"/>
      <c r="GY11" s="774"/>
      <c r="GZ11" s="774"/>
    </row>
    <row r="12" spans="1:208">
      <c r="W12" s="29"/>
      <c r="X12" s="30"/>
      <c r="Y12" s="28"/>
      <c r="AI12" s="29"/>
      <c r="AJ12" s="30"/>
      <c r="BK12" s="704"/>
      <c r="BM12" s="29"/>
      <c r="BN12" s="30"/>
      <c r="BO12" s="704"/>
      <c r="BQ12" s="29"/>
      <c r="BR12" s="30"/>
      <c r="BS12" s="704"/>
      <c r="BU12" s="29"/>
      <c r="BV12" s="30"/>
      <c r="BX12" s="29"/>
      <c r="CL12" s="705"/>
      <c r="CZ12" s="30"/>
      <c r="DB12"/>
      <c r="DC12"/>
      <c r="DD12"/>
      <c r="DE12"/>
      <c r="DH12"/>
    </row>
    <row r="13" spans="1:208" ht="12.75">
      <c r="A13" s="924" t="s">
        <v>282</v>
      </c>
      <c r="B13" s="924"/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4"/>
      <c r="T13" s="924"/>
      <c r="U13" s="924"/>
      <c r="V13" s="924"/>
      <c r="W13" s="924"/>
      <c r="X13" s="924"/>
      <c r="Y13" s="924"/>
      <c r="Z13" s="924"/>
      <c r="AA13" s="924"/>
      <c r="AB13" s="924"/>
      <c r="AC13" s="924"/>
      <c r="AD13" s="924"/>
      <c r="AE13" s="924"/>
      <c r="AF13" s="924"/>
      <c r="AG13" s="924"/>
      <c r="AH13" s="924"/>
      <c r="AI13" s="924"/>
      <c r="AJ13" s="924"/>
      <c r="AK13" s="924"/>
      <c r="AL13" s="924"/>
      <c r="AM13" s="924"/>
      <c r="AN13" s="924"/>
      <c r="AO13" s="924"/>
      <c r="AP13" s="924"/>
      <c r="AQ13" s="924"/>
      <c r="AR13" s="924"/>
      <c r="AS13" s="924"/>
      <c r="AT13" s="924"/>
      <c r="AU13" s="924"/>
      <c r="AV13" s="924"/>
      <c r="AW13" s="924"/>
      <c r="AX13" s="924"/>
      <c r="AY13" s="924"/>
      <c r="AZ13" s="924"/>
      <c r="BA13" s="924"/>
      <c r="BB13" s="924"/>
      <c r="BC13" s="924"/>
      <c r="BD13" s="924"/>
      <c r="BE13" s="924"/>
      <c r="BF13" s="924"/>
      <c r="BG13" s="924"/>
      <c r="BH13" s="924"/>
      <c r="BI13" s="924"/>
      <c r="BJ13" s="924"/>
      <c r="BK13" s="924"/>
      <c r="BL13" s="924"/>
      <c r="BM13" s="924"/>
      <c r="BN13" s="924"/>
      <c r="BO13" s="924"/>
      <c r="BP13" s="924"/>
      <c r="BQ13" s="924"/>
      <c r="BR13" s="924"/>
      <c r="BS13" s="924"/>
      <c r="BT13" s="924"/>
      <c r="BU13" s="924"/>
      <c r="BV13" s="924"/>
      <c r="BW13" s="924"/>
      <c r="BX13" s="924"/>
      <c r="BY13" s="924"/>
      <c r="BZ13" s="924"/>
      <c r="CA13" s="924"/>
      <c r="CB13" s="924"/>
      <c r="CC13" s="924"/>
      <c r="CD13" s="924"/>
      <c r="CE13" s="924"/>
      <c r="CF13" s="924"/>
      <c r="CG13" s="924"/>
      <c r="CH13" s="924"/>
      <c r="CI13" s="924"/>
      <c r="CJ13" s="924"/>
      <c r="CK13" s="924"/>
      <c r="CL13" s="924"/>
      <c r="CM13" s="924"/>
      <c r="CN13" s="924"/>
      <c r="CO13" s="924"/>
      <c r="CP13" s="924"/>
      <c r="CQ13" s="924"/>
      <c r="CR13" s="924"/>
      <c r="CS13" s="924"/>
      <c r="CT13" s="924"/>
      <c r="CU13" s="924"/>
      <c r="CV13" s="924"/>
      <c r="CW13" s="924"/>
      <c r="CX13" s="924"/>
      <c r="CY13" s="924"/>
      <c r="CZ13" s="924"/>
      <c r="DA13" s="924"/>
      <c r="DB13" s="924"/>
      <c r="DC13" s="924"/>
      <c r="DD13" s="924"/>
      <c r="DE13" s="924"/>
    </row>
    <row r="14" spans="1:208" ht="12.75">
      <c r="A14" s="924" t="s">
        <v>291</v>
      </c>
      <c r="B14" s="924"/>
      <c r="C14" s="924"/>
      <c r="D14" s="924"/>
      <c r="E14" s="924"/>
      <c r="F14" s="924"/>
      <c r="G14" s="924"/>
      <c r="H14" s="924"/>
      <c r="I14" s="924"/>
      <c r="J14" s="924"/>
      <c r="K14" s="924"/>
      <c r="L14" s="924"/>
      <c r="M14" s="924"/>
      <c r="N14" s="924"/>
      <c r="O14" s="924"/>
      <c r="P14" s="924"/>
      <c r="Q14" s="924"/>
      <c r="R14" s="924"/>
      <c r="S14" s="924"/>
      <c r="T14" s="924"/>
      <c r="U14" s="924"/>
      <c r="V14" s="924"/>
      <c r="W14" s="924"/>
      <c r="X14" s="924"/>
      <c r="Y14" s="924"/>
      <c r="Z14" s="924"/>
      <c r="AA14" s="924"/>
      <c r="AB14" s="924"/>
      <c r="AC14" s="924"/>
      <c r="AD14" s="924"/>
      <c r="AE14" s="924"/>
      <c r="AF14" s="924"/>
      <c r="AG14" s="924"/>
      <c r="AH14" s="924"/>
      <c r="AI14" s="924"/>
      <c r="AJ14" s="924"/>
      <c r="AK14" s="924"/>
      <c r="AL14" s="924"/>
      <c r="AM14" s="924"/>
      <c r="AN14" s="924"/>
      <c r="AO14" s="924"/>
      <c r="AP14" s="924"/>
      <c r="AQ14" s="924"/>
      <c r="AR14" s="924"/>
      <c r="AS14" s="924"/>
      <c r="AT14" s="924"/>
      <c r="AU14" s="924"/>
      <c r="AV14" s="924"/>
      <c r="AW14" s="924"/>
      <c r="AX14" s="924"/>
      <c r="AY14" s="924"/>
      <c r="AZ14" s="924"/>
      <c r="BA14" s="924"/>
      <c r="BB14" s="924"/>
      <c r="BC14" s="924"/>
      <c r="BD14" s="924"/>
      <c r="BE14" s="924"/>
      <c r="BF14" s="924"/>
      <c r="BG14" s="924"/>
      <c r="BH14" s="924"/>
      <c r="BI14" s="924"/>
      <c r="BJ14" s="924"/>
      <c r="BK14" s="924"/>
      <c r="BL14" s="924"/>
      <c r="BM14" s="924"/>
      <c r="BN14" s="924"/>
      <c r="BO14" s="924"/>
      <c r="BP14" s="924"/>
      <c r="BQ14" s="924"/>
      <c r="BR14" s="924"/>
      <c r="BS14" s="924"/>
      <c r="BT14" s="924"/>
      <c r="BU14" s="924"/>
      <c r="BV14" s="924"/>
      <c r="BW14" s="924"/>
      <c r="BX14" s="924"/>
      <c r="BY14" s="924"/>
      <c r="BZ14" s="924"/>
      <c r="CA14" s="924"/>
      <c r="CB14" s="924"/>
      <c r="CC14" s="924"/>
      <c r="CD14" s="924"/>
      <c r="CE14" s="924"/>
      <c r="CF14" s="924"/>
      <c r="CG14" s="924"/>
      <c r="CH14" s="924"/>
      <c r="CI14" s="924"/>
      <c r="CJ14" s="924"/>
      <c r="CK14" s="924"/>
      <c r="CL14" s="924"/>
      <c r="CM14" s="924"/>
      <c r="CN14" s="924"/>
      <c r="CO14" s="924"/>
      <c r="CP14" s="924"/>
      <c r="CQ14" s="924"/>
      <c r="CR14" s="924"/>
      <c r="CS14" s="924"/>
      <c r="CT14" s="924"/>
      <c r="CU14" s="924"/>
      <c r="CV14" s="924"/>
      <c r="CW14" s="924"/>
      <c r="CX14" s="924"/>
      <c r="CY14" s="924"/>
      <c r="CZ14" s="924"/>
      <c r="DA14" s="924"/>
      <c r="DB14" s="924"/>
      <c r="DC14" s="924"/>
      <c r="DD14" s="924"/>
      <c r="DE14" s="924"/>
    </row>
    <row r="15" spans="1:208" ht="12.75">
      <c r="A15" s="924" t="s">
        <v>283</v>
      </c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924"/>
      <c r="X15" s="924"/>
      <c r="Y15" s="924"/>
      <c r="Z15" s="924"/>
      <c r="AA15" s="924"/>
      <c r="AB15" s="924"/>
      <c r="AC15" s="924"/>
      <c r="AD15" s="924"/>
      <c r="AE15" s="924"/>
      <c r="AF15" s="924"/>
      <c r="AG15" s="924"/>
      <c r="AH15" s="924"/>
      <c r="AI15" s="924"/>
      <c r="AJ15" s="924"/>
      <c r="AK15" s="924"/>
      <c r="AL15" s="924"/>
      <c r="AM15" s="924"/>
      <c r="AN15" s="924"/>
      <c r="AO15" s="924"/>
      <c r="AP15" s="924"/>
      <c r="AQ15" s="924"/>
      <c r="AR15" s="924"/>
      <c r="AS15" s="924"/>
      <c r="AT15" s="924"/>
      <c r="AU15" s="924"/>
      <c r="AV15" s="924"/>
      <c r="AW15" s="924"/>
      <c r="AX15" s="924"/>
      <c r="AY15" s="924"/>
      <c r="AZ15" s="924"/>
      <c r="BA15" s="924"/>
      <c r="BB15" s="924"/>
      <c r="BC15" s="924"/>
      <c r="BD15" s="924"/>
      <c r="BE15" s="924"/>
      <c r="BF15" s="924"/>
      <c r="BG15" s="924"/>
      <c r="BH15" s="924"/>
      <c r="BI15" s="924"/>
      <c r="BJ15" s="924"/>
      <c r="BK15" s="924"/>
      <c r="BL15" s="924"/>
      <c r="BM15" s="924"/>
      <c r="BN15" s="924"/>
      <c r="BO15" s="924"/>
      <c r="BP15" s="924"/>
      <c r="BQ15" s="924"/>
      <c r="BR15" s="924"/>
      <c r="BS15" s="924"/>
      <c r="BT15" s="924"/>
      <c r="BU15" s="924"/>
      <c r="BV15" s="924"/>
      <c r="BW15" s="924"/>
      <c r="BX15" s="924"/>
      <c r="BY15" s="924"/>
      <c r="BZ15" s="924"/>
      <c r="CA15" s="924"/>
      <c r="CB15" s="924"/>
      <c r="CC15" s="924"/>
      <c r="CD15" s="924"/>
      <c r="CE15" s="924"/>
      <c r="CF15" s="924"/>
      <c r="CG15" s="924"/>
      <c r="CH15" s="924"/>
      <c r="CI15" s="924"/>
      <c r="CJ15" s="924"/>
      <c r="CK15" s="924"/>
      <c r="CL15" s="924"/>
      <c r="CM15" s="924"/>
      <c r="CN15" s="924"/>
      <c r="CO15" s="924"/>
      <c r="CP15" s="924"/>
      <c r="CQ15" s="924"/>
      <c r="CR15" s="924"/>
      <c r="CS15" s="924"/>
      <c r="CT15" s="924"/>
      <c r="CU15" s="924"/>
      <c r="CV15" s="924"/>
      <c r="CW15" s="924"/>
      <c r="CX15" s="924"/>
      <c r="CY15" s="924"/>
      <c r="CZ15" s="924"/>
      <c r="DA15" s="924"/>
      <c r="DB15" s="924"/>
      <c r="DC15" s="924"/>
      <c r="DD15" s="924"/>
      <c r="DE15" s="924"/>
    </row>
    <row r="16" spans="1:208" ht="8.25" customHeight="1" thickBot="1">
      <c r="D16" s="749">
        <v>1</v>
      </c>
      <c r="E16" s="749">
        <v>1</v>
      </c>
      <c r="F16" s="749">
        <v>2</v>
      </c>
      <c r="G16" s="749">
        <v>3</v>
      </c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49"/>
      <c r="S16" s="749"/>
      <c r="T16" s="749"/>
      <c r="U16" s="749"/>
      <c r="V16" s="749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9"/>
      <c r="AM16" s="749"/>
      <c r="AN16" s="749"/>
      <c r="AO16" s="749"/>
      <c r="AP16" s="749"/>
      <c r="AQ16" s="749"/>
      <c r="AR16" s="749"/>
      <c r="AS16" s="749"/>
      <c r="AT16" s="749"/>
      <c r="AU16" s="749"/>
      <c r="AV16" s="749"/>
      <c r="AW16" s="749"/>
      <c r="AX16" s="749"/>
      <c r="AY16" s="749"/>
      <c r="AZ16" s="749"/>
      <c r="BA16" s="749"/>
      <c r="BB16" s="749"/>
      <c r="BC16" s="749"/>
      <c r="BD16" s="749"/>
      <c r="BE16" s="749"/>
      <c r="BF16" s="749"/>
      <c r="BG16" s="749"/>
      <c r="BH16" s="749"/>
      <c r="BI16" s="749"/>
      <c r="BJ16" s="749"/>
      <c r="BK16" s="749"/>
      <c r="BL16" s="749"/>
      <c r="BM16" s="749"/>
      <c r="BN16" s="749"/>
      <c r="BO16" s="749"/>
      <c r="BP16" s="749"/>
      <c r="BQ16" s="749"/>
      <c r="BR16" s="749"/>
      <c r="BS16" s="749"/>
      <c r="BT16" s="749"/>
      <c r="BU16" s="749"/>
      <c r="BV16" s="749"/>
      <c r="BW16" s="749"/>
      <c r="BX16" s="749"/>
      <c r="BY16" s="749"/>
      <c r="BZ16" s="749"/>
      <c r="CA16" s="749"/>
      <c r="CB16" s="749"/>
      <c r="CC16" s="749"/>
      <c r="CD16" s="749"/>
      <c r="CE16" s="749"/>
      <c r="CF16" s="749"/>
      <c r="CG16" s="749"/>
      <c r="CH16" s="749"/>
      <c r="CI16" s="749"/>
      <c r="CJ16" s="749"/>
      <c r="CK16" s="749"/>
      <c r="CL16" s="749"/>
      <c r="CM16" s="750"/>
      <c r="CN16" s="750"/>
      <c r="CO16" s="750"/>
      <c r="CP16" s="750"/>
      <c r="CQ16" s="750"/>
      <c r="CR16" s="750"/>
      <c r="CS16" s="750"/>
      <c r="CT16" s="750"/>
      <c r="CU16" s="750"/>
      <c r="CV16" s="750"/>
      <c r="CW16" s="750"/>
      <c r="CX16" s="750"/>
      <c r="CY16" s="750"/>
      <c r="CZ16" s="750"/>
      <c r="DA16" s="749"/>
      <c r="DB16" s="749">
        <v>4</v>
      </c>
      <c r="DC16" s="749">
        <v>3</v>
      </c>
      <c r="DD16" s="749">
        <v>3</v>
      </c>
      <c r="DE16" s="749">
        <v>3</v>
      </c>
    </row>
    <row r="17" spans="1:109" ht="13.5" customHeight="1" thickBot="1">
      <c r="A17" s="917" t="s">
        <v>35</v>
      </c>
      <c r="B17" s="914" t="s">
        <v>0</v>
      </c>
      <c r="C17" s="919" t="s">
        <v>36</v>
      </c>
      <c r="D17" s="726" t="s">
        <v>322</v>
      </c>
      <c r="E17" s="726" t="s">
        <v>244</v>
      </c>
      <c r="F17" s="725" t="s">
        <v>302</v>
      </c>
      <c r="G17" s="726" t="s">
        <v>302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381" t="s">
        <v>244</v>
      </c>
      <c r="AZ17" s="84"/>
      <c r="BA17" s="82"/>
      <c r="BB17" s="84"/>
      <c r="BC17" s="84"/>
      <c r="BD17" s="84"/>
      <c r="BE17" s="85"/>
      <c r="BF17" s="84"/>
      <c r="BG17" s="84"/>
      <c r="BH17" s="84"/>
      <c r="BI17" s="85"/>
      <c r="BJ17" s="80"/>
      <c r="BK17" s="81"/>
      <c r="BL17" s="932" t="s">
        <v>98</v>
      </c>
      <c r="BM17" s="932"/>
      <c r="BN17" s="932"/>
      <c r="BO17" s="933"/>
      <c r="BP17" s="921" t="s">
        <v>49</v>
      </c>
      <c r="BQ17" s="922"/>
      <c r="BR17" s="922"/>
      <c r="BS17" s="923"/>
      <c r="BT17" s="921" t="s">
        <v>50</v>
      </c>
      <c r="BU17" s="922"/>
      <c r="BV17" s="922"/>
      <c r="BW17" s="923"/>
      <c r="BX17" s="927" t="s">
        <v>37</v>
      </c>
      <c r="BY17" s="934" t="s">
        <v>69</v>
      </c>
      <c r="BZ17" s="935"/>
      <c r="CA17" s="935"/>
      <c r="CB17" s="936"/>
      <c r="CC17" s="917" t="s">
        <v>75</v>
      </c>
      <c r="CD17" s="400" t="s">
        <v>76</v>
      </c>
      <c r="CE17" s="401" t="s">
        <v>77</v>
      </c>
      <c r="CF17" s="402" t="s">
        <v>78</v>
      </c>
      <c r="CG17" s="706"/>
      <c r="CH17" s="706"/>
      <c r="CI17" s="706"/>
      <c r="CJ17" s="706"/>
      <c r="CK17" s="706"/>
      <c r="CL17" s="706"/>
      <c r="CM17" s="706"/>
      <c r="CN17" s="706"/>
      <c r="CO17" s="706"/>
      <c r="CP17" s="706"/>
      <c r="CQ17" s="706"/>
      <c r="CR17" s="706"/>
      <c r="CS17" s="706"/>
      <c r="CT17" s="706"/>
      <c r="CU17" s="706"/>
      <c r="CV17" s="706"/>
      <c r="CW17" s="706"/>
      <c r="CX17" s="706"/>
      <c r="CY17" s="706"/>
      <c r="CZ17" s="706"/>
      <c r="DA17" s="381" t="s">
        <v>244</v>
      </c>
      <c r="DB17" s="381" t="s">
        <v>302</v>
      </c>
      <c r="DC17" s="925" t="s">
        <v>302</v>
      </c>
      <c r="DD17" s="926"/>
      <c r="DE17" s="381" t="s">
        <v>327</v>
      </c>
    </row>
    <row r="18" spans="1:109" ht="13.5" customHeight="1">
      <c r="A18" s="918"/>
      <c r="B18" s="915"/>
      <c r="C18" s="920"/>
      <c r="D18" s="381" t="s">
        <v>47</v>
      </c>
      <c r="E18" s="381" t="s">
        <v>47</v>
      </c>
      <c r="F18" s="381" t="s">
        <v>47</v>
      </c>
      <c r="G18" s="381" t="s">
        <v>47</v>
      </c>
      <c r="H18" s="384" t="s">
        <v>107</v>
      </c>
      <c r="I18" s="385" t="s">
        <v>108</v>
      </c>
      <c r="J18" s="386"/>
      <c r="K18" s="387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9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9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724" t="s">
        <v>129</v>
      </c>
      <c r="AY18" s="390" t="s">
        <v>48</v>
      </c>
      <c r="AZ18" s="391"/>
      <c r="BA18" s="929" t="s">
        <v>116</v>
      </c>
      <c r="BB18" s="930"/>
      <c r="BC18" s="930"/>
      <c r="BD18" s="930"/>
      <c r="BE18" s="931"/>
      <c r="BF18" s="392"/>
      <c r="BG18" s="392"/>
      <c r="BH18" s="392"/>
      <c r="BI18" s="393"/>
      <c r="BJ18" s="391"/>
      <c r="BK18" s="394"/>
      <c r="BL18" s="707"/>
      <c r="BM18" s="388"/>
      <c r="BN18" s="388"/>
      <c r="BO18" s="389"/>
      <c r="BP18" s="708"/>
      <c r="BQ18" s="388"/>
      <c r="BR18" s="388"/>
      <c r="BS18" s="389"/>
      <c r="BT18" s="708"/>
      <c r="BU18" s="388"/>
      <c r="BV18" s="388"/>
      <c r="BW18" s="389"/>
      <c r="BX18" s="928"/>
      <c r="BY18" s="403"/>
      <c r="BZ18" s="388"/>
      <c r="CA18" s="388"/>
      <c r="CB18" s="404"/>
      <c r="CC18" s="918"/>
      <c r="CD18" s="405"/>
      <c r="CE18" s="709"/>
      <c r="CF18" s="394"/>
      <c r="CG18" s="710"/>
      <c r="CH18" s="710"/>
      <c r="CI18" s="710"/>
      <c r="CJ18" s="710"/>
      <c r="CK18" s="710"/>
      <c r="CL18" s="710"/>
      <c r="CM18" s="710"/>
      <c r="CN18" s="710"/>
      <c r="CO18" s="710"/>
      <c r="CP18" s="710"/>
      <c r="CQ18" s="710"/>
      <c r="CR18" s="710"/>
      <c r="CS18" s="710"/>
      <c r="CT18" s="710"/>
      <c r="CU18" s="710"/>
      <c r="CV18" s="710"/>
      <c r="CW18" s="710"/>
      <c r="CX18" s="710"/>
      <c r="CY18" s="710"/>
      <c r="CZ18" s="710"/>
      <c r="DA18" s="381" t="s">
        <v>47</v>
      </c>
      <c r="DB18" s="381" t="s">
        <v>47</v>
      </c>
      <c r="DC18" s="381" t="s">
        <v>47</v>
      </c>
      <c r="DD18" s="381" t="s">
        <v>48</v>
      </c>
      <c r="DE18" s="381" t="s">
        <v>47</v>
      </c>
    </row>
    <row r="19" spans="1:109">
      <c r="A19" s="883" t="s">
        <v>43</v>
      </c>
      <c r="B19" s="884"/>
      <c r="C19" s="382"/>
      <c r="D19" s="728" t="s">
        <v>323</v>
      </c>
      <c r="E19" s="728" t="s">
        <v>321</v>
      </c>
      <c r="F19" s="728" t="s">
        <v>320</v>
      </c>
      <c r="G19" s="728" t="s">
        <v>319</v>
      </c>
      <c r="H19" s="729"/>
      <c r="I19" s="729"/>
      <c r="J19" s="729"/>
      <c r="K19" s="729"/>
      <c r="L19" s="729"/>
      <c r="M19" s="728"/>
      <c r="N19" s="728"/>
      <c r="O19" s="728"/>
      <c r="P19" s="728"/>
      <c r="Q19" s="728"/>
      <c r="R19" s="728"/>
      <c r="S19" s="728"/>
      <c r="T19" s="728"/>
      <c r="U19" s="728"/>
      <c r="V19" s="728"/>
      <c r="W19" s="728"/>
      <c r="X19" s="730"/>
      <c r="Y19" s="731"/>
      <c r="Z19" s="729"/>
      <c r="AA19" s="728"/>
      <c r="AB19" s="728"/>
      <c r="AC19" s="728"/>
      <c r="AD19" s="728"/>
      <c r="AE19" s="728"/>
      <c r="AF19" s="728"/>
      <c r="AG19" s="728"/>
      <c r="AH19" s="728"/>
      <c r="AI19" s="728"/>
      <c r="AJ19" s="730"/>
      <c r="AK19" s="732"/>
      <c r="AL19" s="729"/>
      <c r="AM19" s="728"/>
      <c r="AN19" s="728"/>
      <c r="AO19" s="728"/>
      <c r="AP19" s="728"/>
      <c r="AQ19" s="728"/>
      <c r="AR19" s="728"/>
      <c r="AS19" s="728"/>
      <c r="AT19" s="728"/>
      <c r="AU19" s="728"/>
      <c r="AV19" s="730"/>
      <c r="AW19" s="732"/>
      <c r="AX19" s="729"/>
      <c r="AY19" s="728"/>
      <c r="AZ19" s="733"/>
      <c r="BA19" s="734"/>
      <c r="BB19" s="734"/>
      <c r="BC19" s="734"/>
      <c r="BD19" s="734"/>
      <c r="BE19" s="735"/>
      <c r="BF19" s="733"/>
      <c r="BG19" s="734"/>
      <c r="BH19" s="734"/>
      <c r="BI19" s="735"/>
      <c r="BJ19" s="736"/>
      <c r="BK19" s="737"/>
      <c r="BL19" s="738"/>
      <c r="BM19" s="733"/>
      <c r="BN19" s="739"/>
      <c r="BO19" s="740"/>
      <c r="BP19" s="741"/>
      <c r="BQ19" s="734"/>
      <c r="BR19" s="739"/>
      <c r="BS19" s="740"/>
      <c r="BT19" s="733"/>
      <c r="BU19" s="734"/>
      <c r="BV19" s="739"/>
      <c r="BW19" s="740"/>
      <c r="BX19" s="742"/>
      <c r="BY19" s="743"/>
      <c r="BZ19" s="728"/>
      <c r="CA19" s="736"/>
      <c r="CB19" s="737"/>
      <c r="CC19" s="744"/>
      <c r="CD19" s="745"/>
      <c r="CE19" s="746"/>
      <c r="CF19" s="747"/>
      <c r="CG19" s="748"/>
      <c r="CH19" s="748"/>
      <c r="CI19" s="748"/>
      <c r="CJ19" s="748"/>
      <c r="CK19" s="748"/>
      <c r="CL19" s="748"/>
      <c r="CM19" s="748"/>
      <c r="CN19" s="748"/>
      <c r="CO19" s="748"/>
      <c r="CP19" s="748"/>
      <c r="CQ19" s="748"/>
      <c r="CR19" s="748"/>
      <c r="CS19" s="748"/>
      <c r="CT19" s="748"/>
      <c r="CU19" s="748"/>
      <c r="CV19" s="748"/>
      <c r="CW19" s="748"/>
      <c r="CX19" s="748"/>
      <c r="CY19" s="748"/>
      <c r="CZ19" s="748"/>
      <c r="DA19" s="728"/>
      <c r="DB19" s="728" t="s">
        <v>318</v>
      </c>
      <c r="DC19" s="775" t="s">
        <v>326</v>
      </c>
      <c r="DD19" s="775" t="s">
        <v>328</v>
      </c>
      <c r="DE19" s="728"/>
    </row>
    <row r="20" spans="1:109" ht="24">
      <c r="A20" s="114">
        <v>1</v>
      </c>
      <c r="B20" s="115" t="s">
        <v>301</v>
      </c>
      <c r="C20" s="116" t="s">
        <v>81</v>
      </c>
      <c r="D20" s="117">
        <f>D21+D24+D25+D26+D27</f>
        <v>122</v>
      </c>
      <c r="E20" s="117">
        <f>E21+E24+E25+E26+E27</f>
        <v>109.75</v>
      </c>
      <c r="F20" s="117">
        <f>F21+F24+F25+F26+F27</f>
        <v>111.77</v>
      </c>
      <c r="G20" s="117">
        <f>G21+G24+G25+G26+G27</f>
        <v>111.77</v>
      </c>
      <c r="H20" s="117" t="e">
        <f>H21+#REF!</f>
        <v>#REF!</v>
      </c>
      <c r="I20" s="117">
        <f>SUM(I21:I27)</f>
        <v>36</v>
      </c>
      <c r="J20" s="117">
        <f>SUM(J21:J27)</f>
        <v>9.5</v>
      </c>
      <c r="K20" s="117">
        <f>SUM(K21:K27)</f>
        <v>26.5</v>
      </c>
      <c r="L20" s="117" t="e">
        <f>L21+L24+#REF!</f>
        <v>#REF!</v>
      </c>
      <c r="M20" s="117" t="e">
        <f>M21+M24+#REF!+#REF!</f>
        <v>#REF!</v>
      </c>
      <c r="N20" s="117" t="e">
        <f>N21+#REF!</f>
        <v>#REF!</v>
      </c>
      <c r="O20" s="117" t="e">
        <f>O21+#REF!</f>
        <v>#REF!</v>
      </c>
      <c r="P20" s="117">
        <f t="shared" ref="P20:V20" si="0">SUM(P21:P27)</f>
        <v>0.71666666666666667</v>
      </c>
      <c r="Q20" s="117">
        <f t="shared" si="0"/>
        <v>0.66439000000000004</v>
      </c>
      <c r="R20" s="117">
        <f t="shared" si="0"/>
        <v>0.79166666666666663</v>
      </c>
      <c r="S20" s="117">
        <f t="shared" si="0"/>
        <v>0.77131986300000011</v>
      </c>
      <c r="T20" s="117">
        <f t="shared" si="0"/>
        <v>2.2083333333333335</v>
      </c>
      <c r="U20" s="117">
        <f t="shared" si="0"/>
        <v>2.1536701370000002</v>
      </c>
      <c r="V20" s="117">
        <f t="shared" si="0"/>
        <v>0.252</v>
      </c>
      <c r="W20" s="117"/>
      <c r="X20" s="118" t="e">
        <f>X21+#REF!</f>
        <v>#REF!</v>
      </c>
      <c r="Y20" s="119" t="e">
        <f>O20/N20</f>
        <v>#REF!</v>
      </c>
      <c r="Z20" s="117" t="e">
        <f>Z21+Z24+#REF!</f>
        <v>#REF!</v>
      </c>
      <c r="AA20" s="117" t="e">
        <f>AA21+AA24+#REF!+#REF!</f>
        <v>#REF!</v>
      </c>
      <c r="AB20" s="117" t="e">
        <f>AB21+#REF!</f>
        <v>#REF!</v>
      </c>
      <c r="AC20" s="117" t="e">
        <f>AC21+#REF!</f>
        <v>#REF!</v>
      </c>
      <c r="AD20" s="117">
        <f>SUM(AD21:AD27)</f>
        <v>0.79</v>
      </c>
      <c r="AE20" s="117">
        <f>SUM(AE21:AE27)</f>
        <v>0</v>
      </c>
      <c r="AF20" s="117">
        <f>SUM(AF21:AF27)</f>
        <v>2.21</v>
      </c>
      <c r="AG20" s="117">
        <f>SUM(AG21:AG27)</f>
        <v>0</v>
      </c>
      <c r="AH20" s="117">
        <f>SUM(AH21:AH27)</f>
        <v>0</v>
      </c>
      <c r="AI20" s="117"/>
      <c r="AJ20" s="118" t="e">
        <f>AJ21+#REF!</f>
        <v>#REF!</v>
      </c>
      <c r="AK20" s="120" t="e">
        <f>AC20/AB20</f>
        <v>#REF!</v>
      </c>
      <c r="AL20" s="117" t="e">
        <f>AL21+AL24+#REF!</f>
        <v>#REF!</v>
      </c>
      <c r="AM20" s="117" t="e">
        <f>AM21+AM24+#REF!+#REF!</f>
        <v>#REF!</v>
      </c>
      <c r="AN20" s="117" t="e">
        <f>AN21+#REF!</f>
        <v>#REF!</v>
      </c>
      <c r="AO20" s="117" t="e">
        <f>AO21+#REF!</f>
        <v>#REF!</v>
      </c>
      <c r="AP20" s="117">
        <f>SUM(AP21:AP27)</f>
        <v>0.79</v>
      </c>
      <c r="AQ20" s="117">
        <f>SUM(AQ21:AQ27)</f>
        <v>0</v>
      </c>
      <c r="AR20" s="117">
        <f>SUM(AR21:AR27)</f>
        <v>2.21</v>
      </c>
      <c r="AS20" s="117">
        <f>SUM(AS21:AS27)</f>
        <v>0</v>
      </c>
      <c r="AT20" s="117">
        <f>SUM(AT21:AT27)</f>
        <v>0</v>
      </c>
      <c r="AU20" s="117"/>
      <c r="AV20" s="118" t="e">
        <f>AV21+#REF!</f>
        <v>#REF!</v>
      </c>
      <c r="AW20" s="120" t="e">
        <f>AO20/AN20</f>
        <v>#REF!</v>
      </c>
      <c r="AX20" s="117" t="e">
        <f>AX21+AX24+#REF!</f>
        <v>#REF!</v>
      </c>
      <c r="AY20" s="117">
        <f>AY21+AY24+AY25+AY26+AY27</f>
        <v>107.63</v>
      </c>
      <c r="AZ20" s="121">
        <f>AZ21+AZ24+AZ25</f>
        <v>29.630000000000003</v>
      </c>
      <c r="BA20" s="122">
        <f>BA21</f>
        <v>70.39</v>
      </c>
      <c r="BB20" s="122">
        <f t="shared" ref="BB20:BG20" si="1">SUM(BB21:BB27)</f>
        <v>18.234999999999999</v>
      </c>
      <c r="BC20" s="122">
        <f t="shared" si="1"/>
        <v>31.21</v>
      </c>
      <c r="BD20" s="122">
        <f t="shared" si="1"/>
        <v>6.4</v>
      </c>
      <c r="BE20" s="123">
        <f t="shared" si="1"/>
        <v>6.03</v>
      </c>
      <c r="BF20" s="121">
        <f t="shared" si="1"/>
        <v>0</v>
      </c>
      <c r="BG20" s="122">
        <f t="shared" si="1"/>
        <v>0</v>
      </c>
      <c r="BH20" s="122"/>
      <c r="BI20" s="123"/>
      <c r="BJ20" s="288">
        <f>BA20-AZ20</f>
        <v>40.76</v>
      </c>
      <c r="BK20" s="407">
        <f>BA20/AZ20</f>
        <v>2.3756328045899426</v>
      </c>
      <c r="BL20" s="408"/>
      <c r="BM20" s="121">
        <f>SUM(BM21:BM27)</f>
        <v>0.57499999999999996</v>
      </c>
      <c r="BN20" s="122"/>
      <c r="BO20" s="409"/>
      <c r="BP20" s="121"/>
      <c r="BQ20" s="122"/>
      <c r="BR20" s="122"/>
      <c r="BS20" s="410"/>
      <c r="BT20" s="121"/>
      <c r="BU20" s="122"/>
      <c r="BV20" s="122"/>
      <c r="BW20" s="410"/>
      <c r="BX20" s="411" t="e">
        <f>BX21+BX24+#REF!</f>
        <v>#REF!</v>
      </c>
      <c r="BY20" s="412" t="e">
        <f>BY21+BY24+#REF!</f>
        <v>#REF!</v>
      </c>
      <c r="BZ20" s="117" t="e">
        <f>BZ21+BZ24+#REF!+#REF!</f>
        <v>#REF!</v>
      </c>
      <c r="CA20" s="121" t="e">
        <f>BZ20-BY20</f>
        <v>#REF!</v>
      </c>
      <c r="CB20" s="413" t="e">
        <f>BZ20/BY20</f>
        <v>#REF!</v>
      </c>
      <c r="CC20" s="414" t="e">
        <f>BZ20-E20</f>
        <v>#REF!</v>
      </c>
      <c r="CD20" s="415" t="e">
        <f>CD21+CD24+#REF!</f>
        <v>#REF!</v>
      </c>
      <c r="CE20" s="122">
        <f>SUM(CE21:CE27)</f>
        <v>4.97</v>
      </c>
      <c r="CF20" s="123"/>
      <c r="CG20" s="416"/>
      <c r="CH20" s="416"/>
      <c r="CI20" s="416"/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117">
        <f>DA21+DA24+DA25+DA26+DA27</f>
        <v>109.75</v>
      </c>
      <c r="DB20" s="117">
        <f>DB21+DB24+DB25+DB26+DB27</f>
        <v>117.27</v>
      </c>
      <c r="DC20" s="117">
        <f>DC21+DC24+DC25+DC26+DC27</f>
        <v>112.8</v>
      </c>
      <c r="DD20" s="117">
        <f>DD21+DD24+DD25+DD26+DD27</f>
        <v>102.06</v>
      </c>
      <c r="DE20" s="117">
        <f>DE21+DE24+DE25+DE26+DE27</f>
        <v>112.8</v>
      </c>
    </row>
    <row r="21" spans="1:109">
      <c r="A21" s="124"/>
      <c r="B21" s="125" t="s">
        <v>87</v>
      </c>
      <c r="C21" s="126" t="s">
        <v>81</v>
      </c>
      <c r="D21" s="78">
        <v>84</v>
      </c>
      <c r="E21" s="78">
        <v>66.7</v>
      </c>
      <c r="F21" s="78">
        <v>66.7</v>
      </c>
      <c r="G21" s="78">
        <v>66.7</v>
      </c>
      <c r="H21" s="3">
        <v>85</v>
      </c>
      <c r="I21" s="3"/>
      <c r="J21" s="3"/>
      <c r="K21" s="3"/>
      <c r="L21" s="3">
        <f>G21/12</f>
        <v>5.5583333333333336</v>
      </c>
      <c r="M21" s="3">
        <f>M22+M23</f>
        <v>6.2536199999999997</v>
      </c>
      <c r="N21" s="3">
        <f>G21/12</f>
        <v>5.5583333333333336</v>
      </c>
      <c r="O21" s="3">
        <f>O22+O23</f>
        <v>6.2536199999999997</v>
      </c>
      <c r="P21" s="3"/>
      <c r="Q21" s="3"/>
      <c r="R21" s="3"/>
      <c r="S21" s="3"/>
      <c r="T21" s="3"/>
      <c r="U21" s="3"/>
      <c r="V21" s="3"/>
      <c r="W21" s="3"/>
      <c r="X21" s="127">
        <f>O21-N21</f>
        <v>0.69528666666666616</v>
      </c>
      <c r="Y21" s="128">
        <f>O21/N21</f>
        <v>1.1250890554722637</v>
      </c>
      <c r="Z21" s="3">
        <f>Z22+Z23</f>
        <v>7.09</v>
      </c>
      <c r="AA21" s="3"/>
      <c r="AB21" s="3">
        <f>AB22+AB23</f>
        <v>7.09</v>
      </c>
      <c r="AC21" s="3"/>
      <c r="AD21" s="3"/>
      <c r="AE21" s="3"/>
      <c r="AF21" s="3"/>
      <c r="AG21" s="3"/>
      <c r="AH21" s="3"/>
      <c r="AI21" s="3"/>
      <c r="AJ21" s="127">
        <f>AC21-AB21</f>
        <v>-7.09</v>
      </c>
      <c r="AK21" s="129">
        <f>AC21/AB21</f>
        <v>0</v>
      </c>
      <c r="AL21" s="3">
        <f>AL22+AL23</f>
        <v>7.09</v>
      </c>
      <c r="AM21" s="3"/>
      <c r="AN21" s="3">
        <f>AN22+AN23</f>
        <v>7.09</v>
      </c>
      <c r="AO21" s="3"/>
      <c r="AP21" s="3"/>
      <c r="AQ21" s="3"/>
      <c r="AR21" s="3"/>
      <c r="AS21" s="3"/>
      <c r="AT21" s="3"/>
      <c r="AU21" s="3"/>
      <c r="AV21" s="127">
        <f>AO21-AN21</f>
        <v>-7.09</v>
      </c>
      <c r="AW21" s="129">
        <f>AO21/AN21</f>
        <v>0</v>
      </c>
      <c r="AX21" s="33">
        <f>AX22+AX23</f>
        <v>43.5</v>
      </c>
      <c r="AY21" s="33">
        <v>70.39</v>
      </c>
      <c r="AZ21" s="102">
        <f>AZ22+AZ23</f>
        <v>19.09</v>
      </c>
      <c r="BA21" s="103">
        <f>AY21</f>
        <v>70.39</v>
      </c>
      <c r="BB21" s="103"/>
      <c r="BC21" s="103"/>
      <c r="BD21" s="103"/>
      <c r="BE21" s="104"/>
      <c r="BF21" s="102"/>
      <c r="BG21" s="103"/>
      <c r="BH21" s="103"/>
      <c r="BI21" s="104"/>
      <c r="BJ21" s="417">
        <f>BA21-AZ21</f>
        <v>51.3</v>
      </c>
      <c r="BK21" s="418">
        <f>BA21/AZ21</f>
        <v>3.6872708224201154</v>
      </c>
      <c r="BL21" s="419"/>
      <c r="BM21" s="102"/>
      <c r="BN21" s="103"/>
      <c r="BO21" s="420"/>
      <c r="BP21" s="102"/>
      <c r="BQ21" s="103"/>
      <c r="BR21" s="103"/>
      <c r="BS21" s="421"/>
      <c r="BT21" s="102"/>
      <c r="BU21" s="103"/>
      <c r="BV21" s="103"/>
      <c r="BW21" s="421"/>
      <c r="BX21" s="422">
        <v>78.010000000000005</v>
      </c>
      <c r="BY21" s="423">
        <f>BY22+BY23</f>
        <v>85</v>
      </c>
      <c r="BZ21" s="33">
        <f>BZ22+BZ23</f>
        <v>91.91</v>
      </c>
      <c r="CA21" s="102">
        <f>BZ21-BY21</f>
        <v>6.9099999999999966</v>
      </c>
      <c r="CB21" s="424">
        <f>BZ21/BY21</f>
        <v>1.0812941176470587</v>
      </c>
      <c r="CC21" s="93">
        <f>BZ21-E21</f>
        <v>25.209999999999994</v>
      </c>
      <c r="CD21" s="425">
        <v>91.91</v>
      </c>
      <c r="CE21" s="103"/>
      <c r="CF21" s="104"/>
      <c r="CG21" s="406"/>
      <c r="CH21" s="406"/>
      <c r="CI21" s="406"/>
      <c r="CJ21" s="406"/>
      <c r="CK21" s="406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6"/>
      <c r="DA21" s="33">
        <v>66.7</v>
      </c>
      <c r="DB21" s="33">
        <v>72.2</v>
      </c>
      <c r="DC21" s="78">
        <v>72.2</v>
      </c>
      <c r="DD21" s="78">
        <v>65.2</v>
      </c>
      <c r="DE21" s="78">
        <v>72.2</v>
      </c>
    </row>
    <row r="22" spans="1:109" ht="12" hidden="1" customHeight="1">
      <c r="A22" s="130"/>
      <c r="B22" s="131" t="s">
        <v>276</v>
      </c>
      <c r="C22" s="132" t="s">
        <v>81</v>
      </c>
      <c r="D22" s="79">
        <v>81.3</v>
      </c>
      <c r="E22" s="79">
        <v>81.3</v>
      </c>
      <c r="F22" s="79">
        <v>81.3</v>
      </c>
      <c r="G22" s="79">
        <v>81.3</v>
      </c>
      <c r="H22" s="133">
        <v>79.53</v>
      </c>
      <c r="I22" s="134"/>
      <c r="J22" s="134"/>
      <c r="K22" s="134"/>
      <c r="L22" s="133">
        <v>6.625</v>
      </c>
      <c r="M22" s="133">
        <v>5.8500100000000002</v>
      </c>
      <c r="N22" s="133">
        <v>6.63</v>
      </c>
      <c r="O22" s="133">
        <f>M22</f>
        <v>5.8500100000000002</v>
      </c>
      <c r="P22" s="133"/>
      <c r="Q22" s="133"/>
      <c r="R22" s="134"/>
      <c r="S22" s="134"/>
      <c r="T22" s="134"/>
      <c r="U22" s="134"/>
      <c r="V22" s="134"/>
      <c r="W22" s="134"/>
      <c r="X22" s="135">
        <f>O22-N22</f>
        <v>-0.77998999999999974</v>
      </c>
      <c r="Y22" s="136">
        <f>O22/N22</f>
        <v>0.88235444947209651</v>
      </c>
      <c r="Z22" s="133">
        <v>6.63</v>
      </c>
      <c r="AA22" s="133"/>
      <c r="AB22" s="133">
        <v>6.63</v>
      </c>
      <c r="AC22" s="133"/>
      <c r="AD22" s="134"/>
      <c r="AE22" s="134"/>
      <c r="AF22" s="134"/>
      <c r="AG22" s="134"/>
      <c r="AH22" s="134"/>
      <c r="AI22" s="134"/>
      <c r="AJ22" s="135">
        <f>AC22-AB22</f>
        <v>-6.63</v>
      </c>
      <c r="AK22" s="137">
        <f>AC22/AB22</f>
        <v>0</v>
      </c>
      <c r="AL22" s="133">
        <v>6.63</v>
      </c>
      <c r="AM22" s="133"/>
      <c r="AN22" s="133">
        <v>6.63</v>
      </c>
      <c r="AO22" s="133"/>
      <c r="AP22" s="134"/>
      <c r="AQ22" s="134"/>
      <c r="AR22" s="134"/>
      <c r="AS22" s="134"/>
      <c r="AT22" s="134"/>
      <c r="AU22" s="134"/>
      <c r="AV22" s="135">
        <f>AO22-AN22</f>
        <v>-6.63</v>
      </c>
      <c r="AW22" s="137">
        <f>AO22/AN22</f>
        <v>0</v>
      </c>
      <c r="AX22" s="79">
        <f t="shared" ref="AX22:AX27" si="2">G22/2</f>
        <v>40.65</v>
      </c>
      <c r="AY22" s="79">
        <v>86.19</v>
      </c>
      <c r="AZ22" s="138">
        <v>17.86</v>
      </c>
      <c r="BA22" s="139">
        <f>AY22</f>
        <v>86.19</v>
      </c>
      <c r="BB22" s="62"/>
      <c r="BC22" s="62"/>
      <c r="BD22" s="62"/>
      <c r="BE22" s="110"/>
      <c r="BF22" s="109"/>
      <c r="BG22" s="62"/>
      <c r="BH22" s="62"/>
      <c r="BI22" s="110"/>
      <c r="BJ22" s="426">
        <f>BA22-AZ22</f>
        <v>68.33</v>
      </c>
      <c r="BK22" s="427">
        <f>BA22/AZ22</f>
        <v>4.8258678611422177</v>
      </c>
      <c r="BL22" s="428"/>
      <c r="BM22" s="109"/>
      <c r="BN22" s="62"/>
      <c r="BO22" s="429"/>
      <c r="BP22" s="109"/>
      <c r="BQ22" s="62"/>
      <c r="BR22" s="62"/>
      <c r="BS22" s="430"/>
      <c r="BT22" s="109"/>
      <c r="BU22" s="62"/>
      <c r="BV22" s="62"/>
      <c r="BW22" s="430"/>
      <c r="BX22" s="431"/>
      <c r="BY22" s="432">
        <v>79.53</v>
      </c>
      <c r="BZ22" s="31">
        <v>86</v>
      </c>
      <c r="CA22" s="109"/>
      <c r="CB22" s="433"/>
      <c r="CC22" s="72"/>
      <c r="CD22" s="434">
        <v>86</v>
      </c>
      <c r="CE22" s="62"/>
      <c r="CF22" s="110"/>
      <c r="CG22" s="406"/>
      <c r="CH22" s="406"/>
      <c r="CI22" s="406"/>
      <c r="CJ22" s="406"/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79">
        <v>86.19</v>
      </c>
      <c r="DB22" s="79">
        <v>86.19</v>
      </c>
      <c r="DC22" s="79">
        <v>81.3</v>
      </c>
      <c r="DD22" s="79">
        <v>81.3</v>
      </c>
      <c r="DE22" s="79">
        <v>81.3</v>
      </c>
    </row>
    <row r="23" spans="1:109" ht="12" hidden="1" customHeight="1">
      <c r="A23" s="130"/>
      <c r="B23" s="131" t="s">
        <v>277</v>
      </c>
      <c r="C23" s="132" t="s">
        <v>81</v>
      </c>
      <c r="D23" s="79">
        <v>5.7</v>
      </c>
      <c r="E23" s="79">
        <v>5.7</v>
      </c>
      <c r="F23" s="79">
        <v>5.7</v>
      </c>
      <c r="G23" s="79">
        <v>5.7</v>
      </c>
      <c r="H23" s="133">
        <v>5.46</v>
      </c>
      <c r="I23" s="134"/>
      <c r="J23" s="134"/>
      <c r="K23" s="134"/>
      <c r="L23" s="133">
        <v>0.45500000000000002</v>
      </c>
      <c r="M23" s="133">
        <v>0.40361000000000002</v>
      </c>
      <c r="N23" s="133">
        <v>0.46</v>
      </c>
      <c r="O23" s="133">
        <f>M23</f>
        <v>0.40361000000000002</v>
      </c>
      <c r="P23" s="133"/>
      <c r="Q23" s="133"/>
      <c r="R23" s="134"/>
      <c r="S23" s="134"/>
      <c r="T23" s="134"/>
      <c r="U23" s="134"/>
      <c r="V23" s="134"/>
      <c r="W23" s="134"/>
      <c r="X23" s="135">
        <f>O23-N23</f>
        <v>-5.6389999999999996E-2</v>
      </c>
      <c r="Y23" s="136">
        <f>O23/N23</f>
        <v>0.87741304347826088</v>
      </c>
      <c r="Z23" s="133">
        <v>0.46</v>
      </c>
      <c r="AA23" s="133"/>
      <c r="AB23" s="133">
        <v>0.46</v>
      </c>
      <c r="AC23" s="133"/>
      <c r="AD23" s="134"/>
      <c r="AE23" s="134"/>
      <c r="AF23" s="134"/>
      <c r="AG23" s="134"/>
      <c r="AH23" s="134"/>
      <c r="AI23" s="134"/>
      <c r="AJ23" s="135">
        <f>AC23-AB23</f>
        <v>-0.46</v>
      </c>
      <c r="AK23" s="137">
        <f>AC23/AB23</f>
        <v>0</v>
      </c>
      <c r="AL23" s="133">
        <v>0.46</v>
      </c>
      <c r="AM23" s="133"/>
      <c r="AN23" s="133">
        <v>0.46</v>
      </c>
      <c r="AO23" s="133"/>
      <c r="AP23" s="134"/>
      <c r="AQ23" s="134"/>
      <c r="AR23" s="134"/>
      <c r="AS23" s="134"/>
      <c r="AT23" s="134"/>
      <c r="AU23" s="134"/>
      <c r="AV23" s="135">
        <f>AO23-AN23</f>
        <v>-0.46</v>
      </c>
      <c r="AW23" s="137">
        <f>AO23/AN23</f>
        <v>0</v>
      </c>
      <c r="AX23" s="79">
        <f t="shared" si="2"/>
        <v>2.85</v>
      </c>
      <c r="AY23" s="79">
        <v>2.82</v>
      </c>
      <c r="AZ23" s="138">
        <v>1.23</v>
      </c>
      <c r="BA23" s="139">
        <f>AY23</f>
        <v>2.82</v>
      </c>
      <c r="BB23" s="62"/>
      <c r="BC23" s="62"/>
      <c r="BD23" s="62"/>
      <c r="BE23" s="110"/>
      <c r="BF23" s="109"/>
      <c r="BG23" s="62"/>
      <c r="BH23" s="62"/>
      <c r="BI23" s="110"/>
      <c r="BJ23" s="426">
        <f>BA23-AZ23</f>
        <v>1.5899999999999999</v>
      </c>
      <c r="BK23" s="427">
        <f>BA23/AZ23</f>
        <v>2.2926829268292681</v>
      </c>
      <c r="BL23" s="428"/>
      <c r="BM23" s="109"/>
      <c r="BN23" s="62"/>
      <c r="BO23" s="429"/>
      <c r="BP23" s="109"/>
      <c r="BQ23" s="62"/>
      <c r="BR23" s="62"/>
      <c r="BS23" s="430"/>
      <c r="BT23" s="109"/>
      <c r="BU23" s="62"/>
      <c r="BV23" s="62"/>
      <c r="BW23" s="430"/>
      <c r="BX23" s="431"/>
      <c r="BY23" s="432">
        <v>5.47</v>
      </c>
      <c r="BZ23" s="31">
        <v>5.91</v>
      </c>
      <c r="CA23" s="109"/>
      <c r="CB23" s="433"/>
      <c r="CC23" s="72"/>
      <c r="CD23" s="434">
        <v>5.91</v>
      </c>
      <c r="CE23" s="62"/>
      <c r="CF23" s="110"/>
      <c r="CG23" s="406"/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  <c r="CS23" s="406"/>
      <c r="CT23" s="406"/>
      <c r="CU23" s="406"/>
      <c r="CV23" s="406"/>
      <c r="CW23" s="406"/>
      <c r="CX23" s="406"/>
      <c r="CY23" s="406"/>
      <c r="CZ23" s="406"/>
      <c r="DA23" s="79">
        <v>2.82</v>
      </c>
      <c r="DB23" s="79">
        <v>2.82</v>
      </c>
      <c r="DC23" s="79">
        <v>5.7</v>
      </c>
      <c r="DD23" s="79">
        <v>5.7</v>
      </c>
      <c r="DE23" s="79">
        <v>5.7</v>
      </c>
    </row>
    <row r="24" spans="1:109">
      <c r="A24" s="130"/>
      <c r="B24" s="131" t="s">
        <v>88</v>
      </c>
      <c r="C24" s="132" t="s">
        <v>81</v>
      </c>
      <c r="D24" s="31">
        <v>30</v>
      </c>
      <c r="E24" s="31">
        <v>34.450000000000003</v>
      </c>
      <c r="F24" s="31">
        <v>36.47</v>
      </c>
      <c r="G24" s="31">
        <v>36.47</v>
      </c>
      <c r="H24" s="134"/>
      <c r="I24" s="134">
        <v>36</v>
      </c>
      <c r="J24" s="134">
        <v>9.5</v>
      </c>
      <c r="K24" s="134">
        <v>26.5</v>
      </c>
      <c r="L24" s="134">
        <f>G24/12</f>
        <v>3.0391666666666666</v>
      </c>
      <c r="M24" s="134">
        <v>2.9249900000000002</v>
      </c>
      <c r="N24" s="134"/>
      <c r="O24" s="134"/>
      <c r="P24" s="134"/>
      <c r="Q24" s="134"/>
      <c r="R24" s="134">
        <f>J24/12</f>
        <v>0.79166666666666663</v>
      </c>
      <c r="S24" s="134">
        <f>M24*26.37/100</f>
        <v>0.77131986300000011</v>
      </c>
      <c r="T24" s="134">
        <f>K24/12</f>
        <v>2.2083333333333335</v>
      </c>
      <c r="U24" s="134">
        <f>M24-S24</f>
        <v>2.1536701370000002</v>
      </c>
      <c r="V24" s="134"/>
      <c r="W24" s="134"/>
      <c r="X24" s="140"/>
      <c r="Y24" s="136"/>
      <c r="Z24" s="134">
        <v>3</v>
      </c>
      <c r="AA24" s="134"/>
      <c r="AB24" s="134"/>
      <c r="AC24" s="134"/>
      <c r="AD24" s="134">
        <v>0.79</v>
      </c>
      <c r="AE24" s="134"/>
      <c r="AF24" s="134">
        <v>2.21</v>
      </c>
      <c r="AG24" s="134"/>
      <c r="AH24" s="134"/>
      <c r="AI24" s="134"/>
      <c r="AJ24" s="140"/>
      <c r="AK24" s="137"/>
      <c r="AL24" s="134">
        <v>3</v>
      </c>
      <c r="AM24" s="134"/>
      <c r="AN24" s="134"/>
      <c r="AO24" s="134"/>
      <c r="AP24" s="134">
        <v>0.79</v>
      </c>
      <c r="AQ24" s="134"/>
      <c r="AR24" s="134">
        <v>2.21</v>
      </c>
      <c r="AS24" s="134"/>
      <c r="AT24" s="134"/>
      <c r="AU24" s="134"/>
      <c r="AV24" s="140"/>
      <c r="AW24" s="137"/>
      <c r="AX24" s="31">
        <f t="shared" si="2"/>
        <v>18.234999999999999</v>
      </c>
      <c r="AY24" s="31">
        <v>31.21</v>
      </c>
      <c r="AZ24" s="109">
        <v>9.1199999999999992</v>
      </c>
      <c r="BA24" s="62"/>
      <c r="BB24" s="62">
        <f>AX24</f>
        <v>18.234999999999999</v>
      </c>
      <c r="BC24" s="62">
        <f>AY24</f>
        <v>31.21</v>
      </c>
      <c r="BD24" s="62"/>
      <c r="BE24" s="110"/>
      <c r="BF24" s="109"/>
      <c r="BG24" s="62"/>
      <c r="BH24" s="62"/>
      <c r="BI24" s="110"/>
      <c r="BJ24" s="426"/>
      <c r="BK24" s="427"/>
      <c r="BL24" s="428"/>
      <c r="BM24" s="109"/>
      <c r="BN24" s="62"/>
      <c r="BO24" s="429"/>
      <c r="BP24" s="109"/>
      <c r="BQ24" s="62"/>
      <c r="BR24" s="62"/>
      <c r="BS24" s="430"/>
      <c r="BT24" s="109"/>
      <c r="BU24" s="62"/>
      <c r="BV24" s="62"/>
      <c r="BW24" s="430"/>
      <c r="BX24" s="431">
        <v>36.590000000000003</v>
      </c>
      <c r="BY24" s="432">
        <f>L24+BL24+BP24+BT24</f>
        <v>3.0391666666666666</v>
      </c>
      <c r="BZ24" s="31">
        <v>43</v>
      </c>
      <c r="CA24" s="109">
        <f>BZ24-BY24</f>
        <v>39.960833333333333</v>
      </c>
      <c r="CB24" s="433">
        <f>BZ24/BY24</f>
        <v>14.148615300246778</v>
      </c>
      <c r="CC24" s="72">
        <f>BZ24-E24</f>
        <v>8.5499999999999972</v>
      </c>
      <c r="CD24" s="434">
        <v>43</v>
      </c>
      <c r="CE24" s="62"/>
      <c r="CF24" s="110"/>
      <c r="CG24" s="406"/>
      <c r="CH24" s="406"/>
      <c r="CI24" s="406"/>
      <c r="CJ24" s="406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6"/>
      <c r="DA24" s="31">
        <v>34.450000000000003</v>
      </c>
      <c r="DB24" s="31">
        <v>36.47</v>
      </c>
      <c r="DC24" s="31">
        <v>32</v>
      </c>
      <c r="DD24" s="31">
        <v>28.26</v>
      </c>
      <c r="DE24" s="31">
        <v>32</v>
      </c>
    </row>
    <row r="25" spans="1:109">
      <c r="A25" s="141"/>
      <c r="B25" s="142" t="s">
        <v>90</v>
      </c>
      <c r="C25" s="143" t="s">
        <v>81</v>
      </c>
      <c r="D25" s="78">
        <v>8</v>
      </c>
      <c r="E25" s="78">
        <v>8.6</v>
      </c>
      <c r="F25" s="78">
        <v>8.6</v>
      </c>
      <c r="G25" s="78">
        <v>8.6</v>
      </c>
      <c r="H25" s="145">
        <v>25.6</v>
      </c>
      <c r="I25" s="145"/>
      <c r="J25" s="145"/>
      <c r="K25" s="145"/>
      <c r="L25" s="145">
        <f>G25/12</f>
        <v>0.71666666666666667</v>
      </c>
      <c r="M25" s="145">
        <v>0.66439000000000004</v>
      </c>
      <c r="N25" s="145"/>
      <c r="O25" s="145"/>
      <c r="P25" s="145">
        <f>L25</f>
        <v>0.71666666666666667</v>
      </c>
      <c r="Q25" s="145">
        <f>M25</f>
        <v>0.66439000000000004</v>
      </c>
      <c r="R25" s="145"/>
      <c r="S25" s="145"/>
      <c r="T25" s="145"/>
      <c r="U25" s="145"/>
      <c r="V25" s="145"/>
      <c r="W25" s="145"/>
      <c r="X25" s="146">
        <f>O25-N25</f>
        <v>0</v>
      </c>
      <c r="Y25" s="147" t="e">
        <f>O25/N25</f>
        <v>#DIV/0!</v>
      </c>
      <c r="Z25" s="145">
        <v>2.13</v>
      </c>
      <c r="AA25" s="145"/>
      <c r="AB25" s="145">
        <v>2.13</v>
      </c>
      <c r="AC25" s="145"/>
      <c r="AD25" s="145"/>
      <c r="AE25" s="145"/>
      <c r="AF25" s="145"/>
      <c r="AG25" s="145"/>
      <c r="AH25" s="145"/>
      <c r="AI25" s="145"/>
      <c r="AJ25" s="146">
        <f>AC25-AB25</f>
        <v>-2.13</v>
      </c>
      <c r="AK25" s="148">
        <f>AC25/AB25</f>
        <v>0</v>
      </c>
      <c r="AL25" s="145">
        <v>2.13</v>
      </c>
      <c r="AM25" s="145"/>
      <c r="AN25" s="145">
        <v>2.13</v>
      </c>
      <c r="AO25" s="145"/>
      <c r="AP25" s="145"/>
      <c r="AQ25" s="145"/>
      <c r="AR25" s="145"/>
      <c r="AS25" s="145"/>
      <c r="AT25" s="145"/>
      <c r="AU25" s="145"/>
      <c r="AV25" s="146">
        <f>AO25-AN25</f>
        <v>-2.13</v>
      </c>
      <c r="AW25" s="148">
        <f>AO25/AN25</f>
        <v>0</v>
      </c>
      <c r="AX25" s="144">
        <f t="shared" si="2"/>
        <v>4.3</v>
      </c>
      <c r="AY25" s="144">
        <v>6.03</v>
      </c>
      <c r="AZ25" s="149">
        <v>1.42</v>
      </c>
      <c r="BA25" s="150"/>
      <c r="BB25" s="150"/>
      <c r="BC25" s="150"/>
      <c r="BD25" s="150">
        <v>6.4</v>
      </c>
      <c r="BE25" s="151">
        <f>AY25</f>
        <v>6.03</v>
      </c>
      <c r="BF25" s="149"/>
      <c r="BG25" s="150"/>
      <c r="BH25" s="150"/>
      <c r="BI25" s="151"/>
      <c r="BJ25" s="435">
        <f>BA25-AZ25</f>
        <v>-1.42</v>
      </c>
      <c r="BK25" s="436">
        <f>BA25/AZ25</f>
        <v>0</v>
      </c>
      <c r="BL25" s="437"/>
      <c r="BM25" s="149"/>
      <c r="BN25" s="150"/>
      <c r="BO25" s="438"/>
      <c r="BP25" s="149"/>
      <c r="BQ25" s="150"/>
      <c r="BR25" s="150"/>
      <c r="BS25" s="439"/>
      <c r="BT25" s="149"/>
      <c r="BU25" s="150"/>
      <c r="BV25" s="150"/>
      <c r="BW25" s="439"/>
      <c r="BX25" s="440">
        <v>23.14</v>
      </c>
      <c r="BY25" s="441">
        <f>L25+BL25+BP25+BT25</f>
        <v>0.71666666666666667</v>
      </c>
      <c r="BZ25" s="144">
        <v>8.86</v>
      </c>
      <c r="CA25" s="149">
        <f>BZ25-BY25</f>
        <v>8.1433333333333326</v>
      </c>
      <c r="CB25" s="442">
        <f>BZ25/BY25</f>
        <v>12.362790697674418</v>
      </c>
      <c r="CC25" s="246">
        <f>BZ25-E25</f>
        <v>0.25999999999999979</v>
      </c>
      <c r="CD25" s="443">
        <v>8.86</v>
      </c>
      <c r="CE25" s="150"/>
      <c r="CF25" s="151"/>
      <c r="CG25" s="406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144">
        <v>8.6</v>
      </c>
      <c r="DB25" s="144">
        <f>8.6</f>
        <v>8.6</v>
      </c>
      <c r="DC25" s="78">
        <v>8.6</v>
      </c>
      <c r="DD25" s="78">
        <v>8.6</v>
      </c>
      <c r="DE25" s="78">
        <v>8.6</v>
      </c>
    </row>
    <row r="26" spans="1:109" ht="24" hidden="1" customHeight="1">
      <c r="A26" s="141"/>
      <c r="B26" s="142" t="s">
        <v>155</v>
      </c>
      <c r="C26" s="132" t="s">
        <v>81</v>
      </c>
      <c r="D26" s="31"/>
      <c r="E26" s="31"/>
      <c r="F26" s="31"/>
      <c r="G26" s="31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6"/>
      <c r="Y26" s="147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6"/>
      <c r="AK26" s="148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6"/>
      <c r="AW26" s="148"/>
      <c r="AX26" s="144">
        <f t="shared" si="2"/>
        <v>0</v>
      </c>
      <c r="AY26" s="144"/>
      <c r="AZ26" s="149"/>
      <c r="BA26" s="150"/>
      <c r="BB26" s="150"/>
      <c r="BC26" s="150"/>
      <c r="BD26" s="150"/>
      <c r="BE26" s="151"/>
      <c r="BF26" s="149">
        <f>AY26</f>
        <v>0</v>
      </c>
      <c r="BG26" s="150"/>
      <c r="BH26" s="150"/>
      <c r="BI26" s="151"/>
      <c r="BJ26" s="435"/>
      <c r="BK26" s="436"/>
      <c r="BL26" s="437"/>
      <c r="BM26" s="149"/>
      <c r="BN26" s="150"/>
      <c r="BO26" s="438"/>
      <c r="BP26" s="149"/>
      <c r="BQ26" s="150"/>
      <c r="BR26" s="150"/>
      <c r="BS26" s="439"/>
      <c r="BT26" s="149"/>
      <c r="BU26" s="150"/>
      <c r="BV26" s="150"/>
      <c r="BW26" s="439"/>
      <c r="BX26" s="440"/>
      <c r="BY26" s="441"/>
      <c r="BZ26" s="144"/>
      <c r="CA26" s="149"/>
      <c r="CB26" s="442"/>
      <c r="CC26" s="246"/>
      <c r="CD26" s="443"/>
      <c r="CE26" s="150"/>
      <c r="CF26" s="151"/>
      <c r="CG26" s="406"/>
      <c r="CH26" s="406"/>
      <c r="CI26" s="406"/>
      <c r="CJ26" s="406"/>
      <c r="CK26" s="406"/>
      <c r="CL26" s="406"/>
      <c r="CM26" s="406"/>
      <c r="CN26" s="406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6"/>
      <c r="CZ26" s="406"/>
      <c r="DA26" s="144"/>
      <c r="DB26" s="144"/>
      <c r="DC26" s="31"/>
      <c r="DD26" s="31"/>
      <c r="DE26" s="31"/>
    </row>
    <row r="27" spans="1:109" ht="12" hidden="1" customHeight="1">
      <c r="A27" s="130"/>
      <c r="B27" s="131" t="s">
        <v>89</v>
      </c>
      <c r="C27" s="132" t="s">
        <v>81</v>
      </c>
      <c r="D27" s="31"/>
      <c r="E27" s="31"/>
      <c r="F27" s="31"/>
      <c r="G27" s="31"/>
      <c r="H27" s="134"/>
      <c r="I27" s="134"/>
      <c r="J27" s="134"/>
      <c r="K27" s="134"/>
      <c r="L27" s="134"/>
      <c r="M27" s="134">
        <v>0.252</v>
      </c>
      <c r="N27" s="134"/>
      <c r="O27" s="134"/>
      <c r="P27" s="134"/>
      <c r="Q27" s="134"/>
      <c r="R27" s="134"/>
      <c r="S27" s="134"/>
      <c r="T27" s="134"/>
      <c r="U27" s="134"/>
      <c r="V27" s="134">
        <f>M27</f>
        <v>0.252</v>
      </c>
      <c r="W27" s="134"/>
      <c r="X27" s="140"/>
      <c r="Y27" s="136"/>
      <c r="Z27" s="134"/>
      <c r="AA27" s="134">
        <v>0.57499999999999996</v>
      </c>
      <c r="AB27" s="134"/>
      <c r="AC27" s="134"/>
      <c r="AD27" s="134"/>
      <c r="AE27" s="134"/>
      <c r="AF27" s="134"/>
      <c r="AG27" s="134"/>
      <c r="AH27" s="134"/>
      <c r="AI27" s="134"/>
      <c r="AJ27" s="140"/>
      <c r="AK27" s="137"/>
      <c r="AL27" s="134"/>
      <c r="AM27" s="134">
        <v>0.57499999999999996</v>
      </c>
      <c r="AN27" s="134"/>
      <c r="AO27" s="134"/>
      <c r="AP27" s="134"/>
      <c r="AQ27" s="134"/>
      <c r="AR27" s="134"/>
      <c r="AS27" s="134"/>
      <c r="AT27" s="134"/>
      <c r="AU27" s="134"/>
      <c r="AV27" s="140"/>
      <c r="AW27" s="137"/>
      <c r="AX27" s="31">
        <f t="shared" si="2"/>
        <v>0</v>
      </c>
      <c r="AY27" s="31"/>
      <c r="AZ27" s="109"/>
      <c r="BA27" s="62"/>
      <c r="BB27" s="62"/>
      <c r="BC27" s="62"/>
      <c r="BD27" s="62"/>
      <c r="BE27" s="110"/>
      <c r="BF27" s="109"/>
      <c r="BG27" s="62">
        <f>AY27</f>
        <v>0</v>
      </c>
      <c r="BH27" s="62"/>
      <c r="BI27" s="110"/>
      <c r="BJ27" s="426"/>
      <c r="BK27" s="427"/>
      <c r="BL27" s="428"/>
      <c r="BM27" s="109">
        <v>0.57499999999999996</v>
      </c>
      <c r="BN27" s="62"/>
      <c r="BO27" s="429"/>
      <c r="BP27" s="109"/>
      <c r="BQ27" s="62"/>
      <c r="BR27" s="62"/>
      <c r="BS27" s="430"/>
      <c r="BT27" s="109"/>
      <c r="BU27" s="62"/>
      <c r="BV27" s="62"/>
      <c r="BW27" s="430"/>
      <c r="BX27" s="431"/>
      <c r="BY27" s="432">
        <f>L27+BL27+BP27+BT27</f>
        <v>0</v>
      </c>
      <c r="BZ27" s="31">
        <f>M27+BM27+BQ27+BU27</f>
        <v>0.82699999999999996</v>
      </c>
      <c r="CA27" s="109">
        <f>BZ27-BY27</f>
        <v>0.82699999999999996</v>
      </c>
      <c r="CB27" s="433">
        <v>0</v>
      </c>
      <c r="CC27" s="72">
        <f>BZ27-E27</f>
        <v>0.82699999999999996</v>
      </c>
      <c r="CD27" s="434"/>
      <c r="CE27" s="62">
        <v>4.97</v>
      </c>
      <c r="CF27" s="110"/>
      <c r="CG27" s="406"/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6"/>
      <c r="DA27" s="31"/>
      <c r="DB27" s="31"/>
      <c r="DC27" s="31"/>
      <c r="DD27" s="31"/>
      <c r="DE27" s="31"/>
    </row>
    <row r="28" spans="1:109" ht="12" customHeight="1">
      <c r="A28" s="152">
        <v>2</v>
      </c>
      <c r="B28" s="153" t="s">
        <v>105</v>
      </c>
      <c r="C28" s="396" t="s">
        <v>54</v>
      </c>
      <c r="D28" s="117">
        <f>SUM(D29:D38)</f>
        <v>45145.58</v>
      </c>
      <c r="E28" s="117">
        <f>SUM(E29:E38)</f>
        <v>46973</v>
      </c>
      <c r="F28" s="117">
        <f>SUM(F29:F38)</f>
        <v>47839.39</v>
      </c>
      <c r="G28" s="117">
        <f>SUM(G29:G38)</f>
        <v>47839.39</v>
      </c>
      <c r="H28" s="117">
        <f t="shared" ref="H28:M28" si="3">SUM(H29:H38)</f>
        <v>19737</v>
      </c>
      <c r="I28" s="117">
        <f t="shared" si="3"/>
        <v>12770</v>
      </c>
      <c r="J28" s="117">
        <f t="shared" si="3"/>
        <v>3230</v>
      </c>
      <c r="K28" s="117">
        <f t="shared" si="3"/>
        <v>9540</v>
      </c>
      <c r="L28" s="117">
        <f t="shared" si="3"/>
        <v>3679.8824999999997</v>
      </c>
      <c r="M28" s="117">
        <f t="shared" si="3"/>
        <v>2722.8766700000006</v>
      </c>
      <c r="N28" s="117">
        <f>N29</f>
        <v>1644.75</v>
      </c>
      <c r="O28" s="117">
        <f>SUM(O29:O38)</f>
        <v>1528.243326</v>
      </c>
      <c r="P28" s="117">
        <f>SUM(P29:P38)</f>
        <v>0</v>
      </c>
      <c r="Q28" s="117">
        <f>SUM(Q29:Q38)</f>
        <v>0</v>
      </c>
      <c r="R28" s="117">
        <f>R30</f>
        <v>269.16666666666669</v>
      </c>
      <c r="S28" s="117">
        <f>SUM(S29:S38)</f>
        <v>233.61555100000001</v>
      </c>
      <c r="T28" s="117">
        <f>T30</f>
        <v>795</v>
      </c>
      <c r="U28" s="117">
        <f t="shared" ref="U28:AA28" si="4">SUM(U29:U38)</f>
        <v>673.68110299999989</v>
      </c>
      <c r="V28" s="117">
        <f t="shared" si="4"/>
        <v>117.252</v>
      </c>
      <c r="W28" s="117">
        <f t="shared" si="4"/>
        <v>170.09</v>
      </c>
      <c r="X28" s="117">
        <f t="shared" si="4"/>
        <v>-141.81999999999994</v>
      </c>
      <c r="Y28" s="119">
        <f t="shared" si="4"/>
        <v>0.9137741298069616</v>
      </c>
      <c r="Z28" s="117">
        <f t="shared" si="4"/>
        <v>2708.92</v>
      </c>
      <c r="AA28" s="117">
        <f t="shared" si="4"/>
        <v>2720.1336100000003</v>
      </c>
      <c r="AB28" s="117">
        <f>AB29</f>
        <v>1644.75</v>
      </c>
      <c r="AC28" s="117">
        <f>AC29</f>
        <v>0</v>
      </c>
      <c r="AD28" s="117">
        <f>AD30</f>
        <v>269.17</v>
      </c>
      <c r="AE28" s="117">
        <f>AE30</f>
        <v>0</v>
      </c>
      <c r="AF28" s="117">
        <f>AF30</f>
        <v>795</v>
      </c>
      <c r="AG28" s="117">
        <f>AG30</f>
        <v>0</v>
      </c>
      <c r="AH28" s="117">
        <f t="shared" ref="AH28:AM28" si="5">SUM(AH29:AH38)</f>
        <v>0</v>
      </c>
      <c r="AI28" s="117">
        <f t="shared" si="5"/>
        <v>0</v>
      </c>
      <c r="AJ28" s="117">
        <f t="shared" si="5"/>
        <v>-1644.75</v>
      </c>
      <c r="AK28" s="120">
        <f t="shared" si="5"/>
        <v>0</v>
      </c>
      <c r="AL28" s="117">
        <f t="shared" si="5"/>
        <v>2708.92</v>
      </c>
      <c r="AM28" s="117">
        <f t="shared" si="5"/>
        <v>2720.1336100000003</v>
      </c>
      <c r="AN28" s="117">
        <f>AN29</f>
        <v>1644.75</v>
      </c>
      <c r="AO28" s="117">
        <f>AO29</f>
        <v>0</v>
      </c>
      <c r="AP28" s="117">
        <f>AP30</f>
        <v>269.17</v>
      </c>
      <c r="AQ28" s="117">
        <f>AQ30</f>
        <v>0</v>
      </c>
      <c r="AR28" s="117">
        <f>AR30</f>
        <v>795</v>
      </c>
      <c r="AS28" s="117">
        <f>AS30</f>
        <v>0</v>
      </c>
      <c r="AT28" s="117">
        <f t="shared" ref="AT28:AY28" si="6">SUM(AT29:AT38)</f>
        <v>0</v>
      </c>
      <c r="AU28" s="117">
        <f t="shared" si="6"/>
        <v>0</v>
      </c>
      <c r="AV28" s="117">
        <f t="shared" si="6"/>
        <v>-1644.75</v>
      </c>
      <c r="AW28" s="120">
        <f t="shared" si="6"/>
        <v>0</v>
      </c>
      <c r="AX28" s="117">
        <f t="shared" si="6"/>
        <v>23919.695</v>
      </c>
      <c r="AY28" s="117">
        <f t="shared" si="6"/>
        <v>38875.15</v>
      </c>
      <c r="AZ28" s="121"/>
      <c r="BA28" s="122">
        <f>SUM(BA29:BA38)</f>
        <v>22937.53</v>
      </c>
      <c r="BB28" s="122">
        <f>BB30</f>
        <v>3192.5</v>
      </c>
      <c r="BC28" s="122">
        <f>BC30</f>
        <v>13358.66</v>
      </c>
      <c r="BD28" s="122">
        <f>BD30</f>
        <v>0</v>
      </c>
      <c r="BE28" s="123">
        <f>SUM(BE29:BE38)</f>
        <v>2578.96</v>
      </c>
      <c r="BF28" s="121">
        <f>SUM(BF29:BF38)</f>
        <v>0</v>
      </c>
      <c r="BG28" s="122">
        <f>SUM(BG29:BG38)</f>
        <v>0</v>
      </c>
      <c r="BH28" s="122">
        <f>SUM(BH29:BH38)</f>
        <v>0</v>
      </c>
      <c r="BI28" s="123">
        <f>SUM(BI29:BI38)</f>
        <v>0</v>
      </c>
      <c r="BJ28" s="288">
        <f>BA28-AZ28</f>
        <v>22937.53</v>
      </c>
      <c r="BK28" s="413" t="e">
        <f>SUM(BK29:BK38)</f>
        <v>#DIV/0!</v>
      </c>
      <c r="BL28" s="408"/>
      <c r="BM28" s="121">
        <f>SUM(BM29:BM38)</f>
        <v>2720.1355100000005</v>
      </c>
      <c r="BN28" s="122"/>
      <c r="BO28" s="409"/>
      <c r="BP28" s="121"/>
      <c r="BQ28" s="122"/>
      <c r="BR28" s="122"/>
      <c r="BS28" s="410"/>
      <c r="BT28" s="121"/>
      <c r="BU28" s="122"/>
      <c r="BV28" s="122"/>
      <c r="BW28" s="410"/>
      <c r="BX28" s="411">
        <f>BX29+BX30</f>
        <v>23075.739999999998</v>
      </c>
      <c r="BY28" s="412">
        <f>SUM(BY29:BY38)</f>
        <v>3679.8824999999997</v>
      </c>
      <c r="BZ28" s="117">
        <f>SUM(BZ29:BZ38)</f>
        <v>5769.9029300000002</v>
      </c>
      <c r="CA28" s="121">
        <f>BZ28-BY28</f>
        <v>2090.0204300000005</v>
      </c>
      <c r="CB28" s="413">
        <f>BZ28/BY28</f>
        <v>1.5679584687826311</v>
      </c>
      <c r="CC28" s="444">
        <f>BZ28-E28</f>
        <v>-41203.097070000003</v>
      </c>
      <c r="CD28" s="415">
        <f>SUM(CD29:CD38)</f>
        <v>28768.18</v>
      </c>
      <c r="CE28" s="122">
        <f>SUM(CE29:CE38)</f>
        <v>2083.29</v>
      </c>
      <c r="CF28" s="123">
        <f>SUM(CF29:CF38)</f>
        <v>2376.7600000000002</v>
      </c>
      <c r="CG28" s="416"/>
      <c r="CH28" s="416"/>
      <c r="CI28" s="416"/>
      <c r="CJ28" s="416"/>
      <c r="CK28" s="416"/>
      <c r="CL28" s="416"/>
      <c r="CM28" s="416"/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416"/>
      <c r="CZ28" s="416"/>
      <c r="DA28" s="117">
        <f>SUM(DA29:DA38)</f>
        <v>46973.000000000007</v>
      </c>
      <c r="DB28" s="117">
        <f>SUM(DB29:DB38)</f>
        <v>50193.39</v>
      </c>
      <c r="DC28" s="117">
        <f>SUM(DC29:DC38)</f>
        <v>48278.400000000009</v>
      </c>
      <c r="DD28" s="117">
        <f>SUM(DD29:DD38)</f>
        <v>42124.289999999994</v>
      </c>
      <c r="DE28" s="117">
        <f>SUM(DE29:DE38)</f>
        <v>48278.400000000009</v>
      </c>
    </row>
    <row r="29" spans="1:109">
      <c r="A29" s="124"/>
      <c r="B29" s="125" t="s">
        <v>87</v>
      </c>
      <c r="C29" s="126" t="s">
        <v>54</v>
      </c>
      <c r="D29" s="78">
        <v>33265.160000000003</v>
      </c>
      <c r="E29" s="78">
        <v>28547.599999999999</v>
      </c>
      <c r="F29" s="78">
        <v>28547.599999999999</v>
      </c>
      <c r="G29" s="78">
        <v>28547.599999999999</v>
      </c>
      <c r="H29" s="3">
        <v>19737</v>
      </c>
      <c r="I29" s="3"/>
      <c r="J29" s="3"/>
      <c r="K29" s="3"/>
      <c r="L29" s="3">
        <f>G29/12</f>
        <v>2378.9666666666667</v>
      </c>
      <c r="M29" s="3">
        <v>1502.92598</v>
      </c>
      <c r="N29" s="3">
        <f>H29/12</f>
        <v>1644.75</v>
      </c>
      <c r="O29" s="3">
        <v>1502.93</v>
      </c>
      <c r="P29" s="3"/>
      <c r="Q29" s="3"/>
      <c r="R29" s="3"/>
      <c r="S29" s="3"/>
      <c r="T29" s="3"/>
      <c r="U29" s="3"/>
      <c r="V29" s="3"/>
      <c r="W29" s="3"/>
      <c r="X29" s="3">
        <f>O29-N29</f>
        <v>-141.81999999999994</v>
      </c>
      <c r="Y29" s="5">
        <f>O29/N29</f>
        <v>0.9137741298069616</v>
      </c>
      <c r="Z29" s="3">
        <v>1644.75</v>
      </c>
      <c r="AA29" s="3">
        <v>1483.6561300000001</v>
      </c>
      <c r="AB29" s="3">
        <v>1644.75</v>
      </c>
      <c r="AC29" s="3"/>
      <c r="AD29" s="3"/>
      <c r="AE29" s="3"/>
      <c r="AF29" s="3"/>
      <c r="AG29" s="3"/>
      <c r="AH29" s="3"/>
      <c r="AI29" s="3"/>
      <c r="AJ29" s="3">
        <f>AC29-AB29</f>
        <v>-1644.75</v>
      </c>
      <c r="AK29" s="6">
        <f>AC29/AB29</f>
        <v>0</v>
      </c>
      <c r="AL29" s="3">
        <v>1644.75</v>
      </c>
      <c r="AM29" s="3">
        <v>1483.6561300000001</v>
      </c>
      <c r="AN29" s="3">
        <v>1644.75</v>
      </c>
      <c r="AO29" s="3"/>
      <c r="AP29" s="3"/>
      <c r="AQ29" s="3"/>
      <c r="AR29" s="3"/>
      <c r="AS29" s="3"/>
      <c r="AT29" s="3"/>
      <c r="AU29" s="3"/>
      <c r="AV29" s="3">
        <f>AO29-AN29</f>
        <v>-1644.75</v>
      </c>
      <c r="AW29" s="6">
        <f>AO29/AN29</f>
        <v>0</v>
      </c>
      <c r="AX29" s="154">
        <f>G29/2</f>
        <v>14273.8</v>
      </c>
      <c r="AY29" s="33">
        <v>22937.53</v>
      </c>
      <c r="AZ29" s="102"/>
      <c r="BA29" s="103">
        <f>AY29</f>
        <v>22937.53</v>
      </c>
      <c r="BB29" s="103"/>
      <c r="BC29" s="103"/>
      <c r="BD29" s="103"/>
      <c r="BE29" s="104"/>
      <c r="BF29" s="102"/>
      <c r="BG29" s="103"/>
      <c r="BH29" s="103"/>
      <c r="BI29" s="104"/>
      <c r="BJ29" s="417">
        <f>BA29-AZ29</f>
        <v>22937.53</v>
      </c>
      <c r="BK29" s="418" t="e">
        <f>BA29/AZ29</f>
        <v>#DIV/0!</v>
      </c>
      <c r="BL29" s="419"/>
      <c r="BM29" s="102">
        <v>1483.6561300000001</v>
      </c>
      <c r="BN29" s="103"/>
      <c r="BO29" s="420"/>
      <c r="BP29" s="102"/>
      <c r="BQ29" s="103"/>
      <c r="BR29" s="103"/>
      <c r="BS29" s="421"/>
      <c r="BT29" s="102"/>
      <c r="BU29" s="103"/>
      <c r="BV29" s="103"/>
      <c r="BW29" s="421"/>
      <c r="BX29" s="422">
        <v>14729.36</v>
      </c>
      <c r="BY29" s="423">
        <f>L29+BL29+BP29+BT29</f>
        <v>2378.9666666666667</v>
      </c>
      <c r="BZ29" s="33">
        <f>M29+BM29+BQ29+BU29</f>
        <v>2986.5821100000003</v>
      </c>
      <c r="CA29" s="102">
        <f>BZ29-BY29</f>
        <v>607.61544333333359</v>
      </c>
      <c r="CB29" s="424">
        <f>BZ29/BY29</f>
        <v>1.2554114993904917</v>
      </c>
      <c r="CC29" s="93">
        <f>BZ29-E29</f>
        <v>-25561.017889999999</v>
      </c>
      <c r="CD29" s="425">
        <v>18016.63</v>
      </c>
      <c r="CE29" s="103"/>
      <c r="CF29" s="104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6"/>
      <c r="DA29" s="33">
        <f>DA21*428</f>
        <v>28547.600000000002</v>
      </c>
      <c r="DB29" s="33">
        <v>30901.599999999999</v>
      </c>
      <c r="DC29" s="78">
        <f>DC21*428</f>
        <v>30901.600000000002</v>
      </c>
      <c r="DD29" s="78">
        <f>24610.39+3296.2</f>
        <v>27906.59</v>
      </c>
      <c r="DE29" s="78">
        <f>DE21*428</f>
        <v>30901.600000000002</v>
      </c>
    </row>
    <row r="30" spans="1:109">
      <c r="A30" s="130"/>
      <c r="B30" s="131" t="s">
        <v>88</v>
      </c>
      <c r="C30" s="132" t="s">
        <v>54</v>
      </c>
      <c r="D30" s="31">
        <v>11880.42</v>
      </c>
      <c r="E30" s="31">
        <v>14744.6</v>
      </c>
      <c r="F30" s="31">
        <v>15610.99</v>
      </c>
      <c r="G30" s="31">
        <v>15610.99</v>
      </c>
      <c r="H30" s="134"/>
      <c r="I30" s="134">
        <v>12770</v>
      </c>
      <c r="J30" s="134">
        <v>3230</v>
      </c>
      <c r="K30" s="134">
        <v>9540</v>
      </c>
      <c r="L30" s="134">
        <f>G30/12</f>
        <v>1300.9158333333332</v>
      </c>
      <c r="M30" s="134">
        <v>856.66881000000001</v>
      </c>
      <c r="N30" s="134"/>
      <c r="O30" s="134"/>
      <c r="P30" s="134"/>
      <c r="Q30" s="134"/>
      <c r="R30" s="134">
        <f>J30/12</f>
        <v>269.16666666666669</v>
      </c>
      <c r="S30" s="134">
        <v>216.74</v>
      </c>
      <c r="T30" s="134">
        <f>K30/12</f>
        <v>795</v>
      </c>
      <c r="U30" s="134">
        <v>639.92999999999995</v>
      </c>
      <c r="V30" s="134"/>
      <c r="W30" s="134"/>
      <c r="X30" s="134"/>
      <c r="Y30" s="155"/>
      <c r="Z30" s="134">
        <v>1064.17</v>
      </c>
      <c r="AA30" s="134">
        <v>795.03348000000005</v>
      </c>
      <c r="AB30" s="134"/>
      <c r="AC30" s="134"/>
      <c r="AD30" s="134">
        <v>269.17</v>
      </c>
      <c r="AE30" s="134"/>
      <c r="AF30" s="134">
        <v>795</v>
      </c>
      <c r="AG30" s="134"/>
      <c r="AH30" s="134"/>
      <c r="AI30" s="134"/>
      <c r="AJ30" s="134"/>
      <c r="AK30" s="156"/>
      <c r="AL30" s="134">
        <v>1064.17</v>
      </c>
      <c r="AM30" s="134">
        <v>795.03348000000005</v>
      </c>
      <c r="AN30" s="134"/>
      <c r="AO30" s="134"/>
      <c r="AP30" s="134">
        <v>269.17</v>
      </c>
      <c r="AQ30" s="134"/>
      <c r="AR30" s="134">
        <v>795</v>
      </c>
      <c r="AS30" s="134"/>
      <c r="AT30" s="134"/>
      <c r="AU30" s="134"/>
      <c r="AV30" s="134"/>
      <c r="AW30" s="156"/>
      <c r="AX30" s="31">
        <f>G30/2</f>
        <v>7805.4949999999999</v>
      </c>
      <c r="AY30" s="31">
        <v>13358.66</v>
      </c>
      <c r="AZ30" s="109"/>
      <c r="BA30" s="62"/>
      <c r="BB30" s="62">
        <v>3192.5</v>
      </c>
      <c r="BC30" s="62">
        <f>AY30</f>
        <v>13358.66</v>
      </c>
      <c r="BD30" s="62"/>
      <c r="BE30" s="110"/>
      <c r="BF30" s="109"/>
      <c r="BG30" s="62"/>
      <c r="BH30" s="62"/>
      <c r="BI30" s="110"/>
      <c r="BJ30" s="426">
        <f>BC30-BB30</f>
        <v>10166.16</v>
      </c>
      <c r="BK30" s="427">
        <f>BC30/BB30</f>
        <v>4.1843884103367266</v>
      </c>
      <c r="BL30" s="428"/>
      <c r="BM30" s="109">
        <v>795.03348000000005</v>
      </c>
      <c r="BN30" s="62"/>
      <c r="BO30" s="429"/>
      <c r="BP30" s="109"/>
      <c r="BQ30" s="62"/>
      <c r="BR30" s="62"/>
      <c r="BS30" s="430"/>
      <c r="BT30" s="109"/>
      <c r="BU30" s="62"/>
      <c r="BV30" s="62"/>
      <c r="BW30" s="430"/>
      <c r="BX30" s="431">
        <v>8346.3799999999992</v>
      </c>
      <c r="BY30" s="432">
        <f>L30+BL30+BP30+BT30</f>
        <v>1300.9158333333332</v>
      </c>
      <c r="BZ30" s="31">
        <f>M30+BM30+BQ30+BU30</f>
        <v>1651.7022900000002</v>
      </c>
      <c r="CA30" s="109">
        <f>BZ30-BY30</f>
        <v>350.78645666666694</v>
      </c>
      <c r="CB30" s="433">
        <f>BZ30/BY30</f>
        <v>1.269645773906716</v>
      </c>
      <c r="CC30" s="72">
        <f>BZ30-E30</f>
        <v>-13092.897710000001</v>
      </c>
      <c r="CD30" s="434">
        <v>10363.08</v>
      </c>
      <c r="CE30" s="62"/>
      <c r="CF30" s="110"/>
      <c r="CG30" s="406"/>
      <c r="CH30" s="406"/>
      <c r="CI30" s="406"/>
      <c r="CJ30" s="406"/>
      <c r="CK30" s="406"/>
      <c r="CL30" s="406"/>
      <c r="CM30" s="406"/>
      <c r="CN30" s="406"/>
      <c r="CO30" s="406"/>
      <c r="CP30" s="406"/>
      <c r="CQ30" s="406"/>
      <c r="CR30" s="406"/>
      <c r="CS30" s="406"/>
      <c r="CT30" s="406"/>
      <c r="CU30" s="406"/>
      <c r="CV30" s="406"/>
      <c r="CW30" s="406"/>
      <c r="CX30" s="406"/>
      <c r="CY30" s="406"/>
      <c r="CZ30" s="406"/>
      <c r="DA30" s="31">
        <f>DA24*428</f>
        <v>14744.6</v>
      </c>
      <c r="DB30" s="31">
        <v>15610.99</v>
      </c>
      <c r="DC30" s="31">
        <f>DC24*428</f>
        <v>13696</v>
      </c>
      <c r="DD30" s="31">
        <v>12097.39</v>
      </c>
      <c r="DE30" s="31">
        <f>DE24*428</f>
        <v>13696</v>
      </c>
    </row>
    <row r="31" spans="1:109">
      <c r="A31" s="130"/>
      <c r="B31" s="383" t="s">
        <v>294</v>
      </c>
      <c r="C31" s="132" t="s">
        <v>54</v>
      </c>
      <c r="D31" s="31">
        <v>0</v>
      </c>
      <c r="E31" s="31">
        <v>3680.8</v>
      </c>
      <c r="F31" s="31">
        <v>3680.8</v>
      </c>
      <c r="G31" s="31">
        <v>3680.8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55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56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56"/>
      <c r="AX31" s="31">
        <f>G31/2</f>
        <v>1840.4</v>
      </c>
      <c r="AY31" s="31">
        <f>1241.46+1337.5</f>
        <v>2578.96</v>
      </c>
      <c r="AZ31" s="109"/>
      <c r="BA31" s="62"/>
      <c r="BB31" s="62"/>
      <c r="BC31" s="62"/>
      <c r="BD31" s="62">
        <v>0</v>
      </c>
      <c r="BE31" s="110">
        <f>AY31</f>
        <v>2578.96</v>
      </c>
      <c r="BF31" s="109"/>
      <c r="BG31" s="62"/>
      <c r="BH31" s="62"/>
      <c r="BI31" s="110"/>
      <c r="BJ31" s="426"/>
      <c r="BK31" s="427"/>
      <c r="BL31" s="428"/>
      <c r="BM31" s="109"/>
      <c r="BN31" s="62"/>
      <c r="BO31" s="429"/>
      <c r="BP31" s="109"/>
      <c r="BQ31" s="62"/>
      <c r="BR31" s="62"/>
      <c r="BS31" s="430"/>
      <c r="BT31" s="109"/>
      <c r="BU31" s="62"/>
      <c r="BV31" s="62"/>
      <c r="BW31" s="430"/>
      <c r="BX31" s="431"/>
      <c r="BY31" s="432"/>
      <c r="BZ31" s="31"/>
      <c r="CA31" s="109"/>
      <c r="CB31" s="433"/>
      <c r="CC31" s="72"/>
      <c r="CD31" s="434"/>
      <c r="CE31" s="62"/>
      <c r="CF31" s="110"/>
      <c r="CG31" s="406"/>
      <c r="CH31" s="406"/>
      <c r="CI31" s="406"/>
      <c r="CJ31" s="406"/>
      <c r="CK31" s="406"/>
      <c r="CL31" s="406"/>
      <c r="CM31" s="406"/>
      <c r="CN31" s="406"/>
      <c r="CO31" s="406"/>
      <c r="CP31" s="406"/>
      <c r="CQ31" s="406"/>
      <c r="CR31" s="406"/>
      <c r="CS31" s="406"/>
      <c r="CT31" s="406"/>
      <c r="CU31" s="406"/>
      <c r="CV31" s="406"/>
      <c r="CW31" s="406"/>
      <c r="CX31" s="406"/>
      <c r="CY31" s="406"/>
      <c r="CZ31" s="406"/>
      <c r="DA31" s="31">
        <f>DA25*428</f>
        <v>3680.7999999999997</v>
      </c>
      <c r="DB31" s="31">
        <f>DB25*428</f>
        <v>3680.7999999999997</v>
      </c>
      <c r="DC31" s="31">
        <f>DC25*428</f>
        <v>3680.7999999999997</v>
      </c>
      <c r="DD31" s="31">
        <v>2120.31</v>
      </c>
      <c r="DE31" s="31">
        <f>DE25*428</f>
        <v>3680.7999999999997</v>
      </c>
    </row>
    <row r="32" spans="1:109" ht="24" hidden="1" customHeight="1">
      <c r="A32" s="130"/>
      <c r="B32" s="142" t="s">
        <v>155</v>
      </c>
      <c r="C32" s="132" t="s">
        <v>54</v>
      </c>
      <c r="D32" s="31"/>
      <c r="E32" s="31"/>
      <c r="F32" s="31"/>
      <c r="G32" s="31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55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56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56"/>
      <c r="AX32" s="31"/>
      <c r="AY32" s="31"/>
      <c r="AZ32" s="109"/>
      <c r="BA32" s="62"/>
      <c r="BB32" s="62"/>
      <c r="BC32" s="62"/>
      <c r="BD32" s="62"/>
      <c r="BE32" s="110"/>
      <c r="BF32" s="109">
        <f>AY32</f>
        <v>0</v>
      </c>
      <c r="BG32" s="62"/>
      <c r="BH32" s="62"/>
      <c r="BI32" s="110"/>
      <c r="BJ32" s="426"/>
      <c r="BK32" s="427"/>
      <c r="BL32" s="428"/>
      <c r="BM32" s="109"/>
      <c r="BN32" s="62"/>
      <c r="BO32" s="429"/>
      <c r="BP32" s="109"/>
      <c r="BQ32" s="62"/>
      <c r="BR32" s="62"/>
      <c r="BS32" s="430"/>
      <c r="BT32" s="109"/>
      <c r="BU32" s="62"/>
      <c r="BV32" s="62"/>
      <c r="BW32" s="430"/>
      <c r="BX32" s="431"/>
      <c r="BY32" s="432"/>
      <c r="BZ32" s="31"/>
      <c r="CA32" s="109"/>
      <c r="CB32" s="433"/>
      <c r="CC32" s="72"/>
      <c r="CD32" s="434"/>
      <c r="CE32" s="62"/>
      <c r="CF32" s="110"/>
      <c r="CG32" s="406"/>
      <c r="CH32" s="406"/>
      <c r="CI32" s="406"/>
      <c r="CJ32" s="406"/>
      <c r="CK32" s="406"/>
      <c r="CL32" s="406"/>
      <c r="CM32" s="406"/>
      <c r="CN32" s="406"/>
      <c r="CO32" s="406"/>
      <c r="CP32" s="406"/>
      <c r="CQ32" s="406"/>
      <c r="CR32" s="406"/>
      <c r="CS32" s="406"/>
      <c r="CT32" s="406"/>
      <c r="CU32" s="406"/>
      <c r="CV32" s="406"/>
      <c r="CW32" s="406"/>
      <c r="CX32" s="406"/>
      <c r="CY32" s="406"/>
      <c r="CZ32" s="406"/>
      <c r="DA32" s="31"/>
      <c r="DB32" s="31"/>
      <c r="DC32" s="31"/>
      <c r="DD32" s="31"/>
      <c r="DE32" s="31"/>
    </row>
    <row r="33" spans="1:109" ht="12" hidden="1" customHeight="1">
      <c r="A33" s="130"/>
      <c r="B33" s="131" t="s">
        <v>204</v>
      </c>
      <c r="C33" s="132" t="s">
        <v>54</v>
      </c>
      <c r="D33" s="31"/>
      <c r="E33" s="31"/>
      <c r="F33" s="31"/>
      <c r="G33" s="31"/>
      <c r="H33" s="134"/>
      <c r="I33" s="134"/>
      <c r="J33" s="134"/>
      <c r="K33" s="134"/>
      <c r="L33" s="134">
        <v>0</v>
      </c>
      <c r="M33" s="134">
        <v>89.251999999999995</v>
      </c>
      <c r="N33" s="134"/>
      <c r="O33" s="134"/>
      <c r="P33" s="134"/>
      <c r="Q33" s="134"/>
      <c r="R33" s="134"/>
      <c r="S33" s="134"/>
      <c r="T33" s="134"/>
      <c r="U33" s="134"/>
      <c r="V33" s="134">
        <v>89.251999999999995</v>
      </c>
      <c r="W33" s="134"/>
      <c r="X33" s="134"/>
      <c r="Y33" s="155"/>
      <c r="Z33" s="134">
        <v>0</v>
      </c>
      <c r="AA33" s="134">
        <v>178.03458000000001</v>
      </c>
      <c r="AB33" s="134"/>
      <c r="AC33" s="134"/>
      <c r="AD33" s="134"/>
      <c r="AE33" s="134"/>
      <c r="AF33" s="134"/>
      <c r="AG33" s="134"/>
      <c r="AH33" s="134"/>
      <c r="AI33" s="134"/>
      <c r="AJ33" s="134"/>
      <c r="AK33" s="156"/>
      <c r="AL33" s="134">
        <v>0</v>
      </c>
      <c r="AM33" s="134">
        <v>178.03458000000001</v>
      </c>
      <c r="AN33" s="134"/>
      <c r="AO33" s="134"/>
      <c r="AP33" s="134"/>
      <c r="AQ33" s="134"/>
      <c r="AR33" s="134"/>
      <c r="AS33" s="134"/>
      <c r="AT33" s="134"/>
      <c r="AU33" s="134"/>
      <c r="AV33" s="134"/>
      <c r="AW33" s="156"/>
      <c r="AX33" s="31"/>
      <c r="AY33" s="31"/>
      <c r="AZ33" s="109"/>
      <c r="BA33" s="62"/>
      <c r="BB33" s="62"/>
      <c r="BC33" s="62"/>
      <c r="BD33" s="62"/>
      <c r="BE33" s="110"/>
      <c r="BF33" s="109"/>
      <c r="BG33" s="62">
        <f>AY33</f>
        <v>0</v>
      </c>
      <c r="BH33" s="62"/>
      <c r="BI33" s="110"/>
      <c r="BJ33" s="426"/>
      <c r="BK33" s="427"/>
      <c r="BL33" s="428"/>
      <c r="BM33" s="109">
        <v>178.03458000000001</v>
      </c>
      <c r="BN33" s="62"/>
      <c r="BO33" s="429"/>
      <c r="BP33" s="109"/>
      <c r="BQ33" s="62"/>
      <c r="BR33" s="62"/>
      <c r="BS33" s="430"/>
      <c r="BT33" s="109"/>
      <c r="BU33" s="62"/>
      <c r="BV33" s="62"/>
      <c r="BW33" s="430"/>
      <c r="BX33" s="431"/>
      <c r="BY33" s="432">
        <v>0</v>
      </c>
      <c r="BZ33" s="31">
        <f>M33+BM33+BQ33+BU33</f>
        <v>267.28658000000001</v>
      </c>
      <c r="CA33" s="109">
        <f>BZ33-BY33</f>
        <v>267.28658000000001</v>
      </c>
      <c r="CB33" s="433">
        <v>0</v>
      </c>
      <c r="CC33" s="72">
        <f>BZ33-E33</f>
        <v>267.28658000000001</v>
      </c>
      <c r="CD33" s="434"/>
      <c r="CE33" s="62">
        <v>1597.61</v>
      </c>
      <c r="CF33" s="110"/>
      <c r="CG33" s="406"/>
      <c r="CH33" s="406"/>
      <c r="CI33" s="406"/>
      <c r="CJ33" s="406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31"/>
      <c r="DB33" s="31"/>
      <c r="DC33" s="31"/>
      <c r="DD33" s="31"/>
      <c r="DE33" s="31"/>
    </row>
    <row r="34" spans="1:109" ht="12" hidden="1" customHeight="1">
      <c r="A34" s="130"/>
      <c r="B34" s="131" t="s">
        <v>91</v>
      </c>
      <c r="C34" s="132" t="s">
        <v>54</v>
      </c>
      <c r="D34" s="31"/>
      <c r="E34" s="31"/>
      <c r="F34" s="31"/>
      <c r="G34" s="31"/>
      <c r="H34" s="134"/>
      <c r="I34" s="134"/>
      <c r="J34" s="134"/>
      <c r="K34" s="134"/>
      <c r="L34" s="134"/>
      <c r="M34" s="134">
        <v>28.001899999999999</v>
      </c>
      <c r="N34" s="134"/>
      <c r="O34" s="134"/>
      <c r="P34" s="134"/>
      <c r="Q34" s="134"/>
      <c r="R34" s="134"/>
      <c r="S34" s="134"/>
      <c r="T34" s="134"/>
      <c r="U34" s="134"/>
      <c r="V34" s="134">
        <v>28</v>
      </c>
      <c r="W34" s="134"/>
      <c r="X34" s="134"/>
      <c r="Y34" s="155"/>
      <c r="Z34" s="134"/>
      <c r="AA34" s="134">
        <v>28</v>
      </c>
      <c r="AB34" s="134"/>
      <c r="AC34" s="134"/>
      <c r="AD34" s="134"/>
      <c r="AE34" s="134"/>
      <c r="AF34" s="134"/>
      <c r="AG34" s="134"/>
      <c r="AH34" s="134"/>
      <c r="AI34" s="134"/>
      <c r="AJ34" s="134"/>
      <c r="AK34" s="156"/>
      <c r="AL34" s="134"/>
      <c r="AM34" s="134">
        <v>28</v>
      </c>
      <c r="AN34" s="134"/>
      <c r="AO34" s="134"/>
      <c r="AP34" s="134"/>
      <c r="AQ34" s="134"/>
      <c r="AR34" s="134"/>
      <c r="AS34" s="134"/>
      <c r="AT34" s="134"/>
      <c r="AU34" s="134"/>
      <c r="AV34" s="134"/>
      <c r="AW34" s="156"/>
      <c r="AX34" s="31"/>
      <c r="AY34" s="31"/>
      <c r="AZ34" s="109"/>
      <c r="BA34" s="62"/>
      <c r="BB34" s="62"/>
      <c r="BC34" s="62"/>
      <c r="BD34" s="62"/>
      <c r="BE34" s="110"/>
      <c r="BF34" s="109"/>
      <c r="BG34" s="62">
        <f>AY34</f>
        <v>0</v>
      </c>
      <c r="BH34" s="62"/>
      <c r="BI34" s="110"/>
      <c r="BJ34" s="426"/>
      <c r="BK34" s="427"/>
      <c r="BL34" s="428"/>
      <c r="BM34" s="109">
        <v>28.001899999999999</v>
      </c>
      <c r="BN34" s="62"/>
      <c r="BO34" s="429"/>
      <c r="BP34" s="109"/>
      <c r="BQ34" s="62"/>
      <c r="BR34" s="62"/>
      <c r="BS34" s="430"/>
      <c r="BT34" s="109"/>
      <c r="BU34" s="62"/>
      <c r="BV34" s="62"/>
      <c r="BW34" s="430"/>
      <c r="BX34" s="431"/>
      <c r="BY34" s="432">
        <v>0</v>
      </c>
      <c r="BZ34" s="31">
        <f>M34+BM34+BQ34+BU34</f>
        <v>56.003799999999998</v>
      </c>
      <c r="CA34" s="109">
        <f>BZ34-BY34</f>
        <v>56.003799999999998</v>
      </c>
      <c r="CB34" s="433">
        <v>0</v>
      </c>
      <c r="CC34" s="72">
        <f>BZ34-E34</f>
        <v>56.003799999999998</v>
      </c>
      <c r="CD34" s="434"/>
      <c r="CE34" s="62">
        <v>429.71</v>
      </c>
      <c r="CF34" s="110"/>
      <c r="CG34" s="406"/>
      <c r="CH34" s="406"/>
      <c r="CI34" s="406"/>
      <c r="CJ34" s="406"/>
      <c r="CK34" s="406"/>
      <c r="CL34" s="406" t="s">
        <v>80</v>
      </c>
      <c r="CM34" s="406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6"/>
      <c r="DA34" s="31"/>
      <c r="DB34" s="31"/>
      <c r="DC34" s="31"/>
      <c r="DD34" s="31"/>
      <c r="DE34" s="31"/>
    </row>
    <row r="35" spans="1:109" ht="12" hidden="1" customHeight="1">
      <c r="A35" s="130"/>
      <c r="B35" s="131" t="s">
        <v>137</v>
      </c>
      <c r="C35" s="132" t="s">
        <v>54</v>
      </c>
      <c r="D35" s="31"/>
      <c r="E35" s="31"/>
      <c r="F35" s="31"/>
      <c r="G35" s="31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55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56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56"/>
      <c r="AX35" s="31"/>
      <c r="AY35" s="31"/>
      <c r="AZ35" s="109"/>
      <c r="BA35" s="62"/>
      <c r="BB35" s="62"/>
      <c r="BC35" s="62"/>
      <c r="BD35" s="62"/>
      <c r="BE35" s="110"/>
      <c r="BF35" s="109"/>
      <c r="BG35" s="62"/>
      <c r="BH35" s="62">
        <f>AY35</f>
        <v>0</v>
      </c>
      <c r="BI35" s="110"/>
      <c r="BJ35" s="426"/>
      <c r="BK35" s="427"/>
      <c r="BL35" s="428"/>
      <c r="BM35" s="109"/>
      <c r="BN35" s="62"/>
      <c r="BO35" s="429"/>
      <c r="BP35" s="109"/>
      <c r="BQ35" s="62"/>
      <c r="BR35" s="62"/>
      <c r="BS35" s="430"/>
      <c r="BT35" s="109"/>
      <c r="BU35" s="62"/>
      <c r="BV35" s="62"/>
      <c r="BW35" s="430"/>
      <c r="BX35" s="431"/>
      <c r="BY35" s="432"/>
      <c r="BZ35" s="31"/>
      <c r="CA35" s="109"/>
      <c r="CB35" s="433"/>
      <c r="CC35" s="72"/>
      <c r="CD35" s="434"/>
      <c r="CE35" s="62"/>
      <c r="CF35" s="110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6"/>
      <c r="CZ35" s="406"/>
      <c r="DA35" s="31"/>
      <c r="DB35" s="31"/>
      <c r="DC35" s="31"/>
      <c r="DD35" s="31"/>
      <c r="DE35" s="31"/>
    </row>
    <row r="36" spans="1:109" ht="12" hidden="1" customHeight="1">
      <c r="A36" s="130"/>
      <c r="B36" s="131" t="s">
        <v>110</v>
      </c>
      <c r="C36" s="132" t="s">
        <v>54</v>
      </c>
      <c r="D36" s="31"/>
      <c r="E36" s="31"/>
      <c r="F36" s="31"/>
      <c r="G36" s="31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55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56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56"/>
      <c r="AX36" s="31"/>
      <c r="AY36" s="31"/>
      <c r="AZ36" s="109"/>
      <c r="BA36" s="62"/>
      <c r="BB36" s="62"/>
      <c r="BC36" s="62"/>
      <c r="BD36" s="62"/>
      <c r="BE36" s="110"/>
      <c r="BF36" s="109"/>
      <c r="BG36" s="62"/>
      <c r="BH36" s="62">
        <f>AY36</f>
        <v>0</v>
      </c>
      <c r="BI36" s="110"/>
      <c r="BJ36" s="426"/>
      <c r="BK36" s="427"/>
      <c r="BL36" s="428"/>
      <c r="BM36" s="109"/>
      <c r="BN36" s="62"/>
      <c r="BO36" s="429"/>
      <c r="BP36" s="109"/>
      <c r="BQ36" s="62"/>
      <c r="BR36" s="62"/>
      <c r="BS36" s="430"/>
      <c r="BT36" s="109"/>
      <c r="BU36" s="62"/>
      <c r="BV36" s="62"/>
      <c r="BW36" s="430"/>
      <c r="BX36" s="431"/>
      <c r="BY36" s="432"/>
      <c r="BZ36" s="31"/>
      <c r="CA36" s="109"/>
      <c r="CB36" s="433"/>
      <c r="CC36" s="72"/>
      <c r="CD36" s="434"/>
      <c r="CE36" s="62"/>
      <c r="CF36" s="110"/>
      <c r="CG36" s="406"/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31"/>
      <c r="DB36" s="31"/>
      <c r="DC36" s="31"/>
      <c r="DD36" s="31"/>
      <c r="DE36" s="31"/>
    </row>
    <row r="37" spans="1:109" ht="12" hidden="1" customHeight="1">
      <c r="A37" s="141"/>
      <c r="B37" s="142" t="s">
        <v>109</v>
      </c>
      <c r="C37" s="143" t="s">
        <v>54</v>
      </c>
      <c r="D37" s="78"/>
      <c r="E37" s="78"/>
      <c r="F37" s="78"/>
      <c r="G37" s="78"/>
      <c r="H37" s="145"/>
      <c r="I37" s="145"/>
      <c r="J37" s="145"/>
      <c r="K37" s="145"/>
      <c r="L37" s="145"/>
      <c r="M37" s="145">
        <f>4.702+165.386</f>
        <v>170.08799999999999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>
        <v>170.09</v>
      </c>
      <c r="X37" s="145"/>
      <c r="Y37" s="157"/>
      <c r="Z37" s="145"/>
      <c r="AA37" s="145">
        <f>4.9371+188.86305</f>
        <v>193.80014999999997</v>
      </c>
      <c r="AB37" s="145"/>
      <c r="AC37" s="145"/>
      <c r="AD37" s="145"/>
      <c r="AE37" s="145"/>
      <c r="AF37" s="145"/>
      <c r="AG37" s="145"/>
      <c r="AH37" s="145"/>
      <c r="AI37" s="145"/>
      <c r="AJ37" s="145"/>
      <c r="AK37" s="158"/>
      <c r="AL37" s="145"/>
      <c r="AM37" s="145">
        <f>4.9371+188.86305</f>
        <v>193.80014999999997</v>
      </c>
      <c r="AN37" s="145"/>
      <c r="AO37" s="145"/>
      <c r="AP37" s="145"/>
      <c r="AQ37" s="145"/>
      <c r="AR37" s="145"/>
      <c r="AS37" s="145"/>
      <c r="AT37" s="145"/>
      <c r="AU37" s="145"/>
      <c r="AV37" s="145"/>
      <c r="AW37" s="158"/>
      <c r="AX37" s="144"/>
      <c r="AY37" s="144"/>
      <c r="AZ37" s="149"/>
      <c r="BA37" s="150"/>
      <c r="BB37" s="150"/>
      <c r="BC37" s="150"/>
      <c r="BD37" s="150"/>
      <c r="BE37" s="151"/>
      <c r="BF37" s="149"/>
      <c r="BG37" s="150"/>
      <c r="BH37" s="150">
        <f>AY37</f>
        <v>0</v>
      </c>
      <c r="BI37" s="151"/>
      <c r="BJ37" s="435"/>
      <c r="BK37" s="436"/>
      <c r="BL37" s="437"/>
      <c r="BM37" s="149">
        <f>4.9371+188.86305</f>
        <v>193.80014999999997</v>
      </c>
      <c r="BN37" s="150"/>
      <c r="BO37" s="438"/>
      <c r="BP37" s="149"/>
      <c r="BQ37" s="150"/>
      <c r="BR37" s="150"/>
      <c r="BS37" s="439"/>
      <c r="BT37" s="149"/>
      <c r="BU37" s="150"/>
      <c r="BV37" s="150"/>
      <c r="BW37" s="439"/>
      <c r="BX37" s="440"/>
      <c r="BY37" s="441">
        <v>0</v>
      </c>
      <c r="BZ37" s="144">
        <f>M37+BM37+BQ37+BU37</f>
        <v>363.88815</v>
      </c>
      <c r="CA37" s="149">
        <f>BZ37-BY37</f>
        <v>363.88815</v>
      </c>
      <c r="CB37" s="442">
        <v>0</v>
      </c>
      <c r="CC37" s="246">
        <f>BZ37-E37</f>
        <v>363.88815</v>
      </c>
      <c r="CD37" s="443"/>
      <c r="CE37" s="150"/>
      <c r="CF37" s="151">
        <v>2376.7600000000002</v>
      </c>
      <c r="CG37" s="406"/>
      <c r="CH37" s="406"/>
      <c r="CI37" s="406"/>
      <c r="CJ37" s="406"/>
      <c r="CK37" s="406"/>
      <c r="CL37" s="406"/>
      <c r="CM37" s="406"/>
      <c r="CN37" s="406"/>
      <c r="CO37" s="406"/>
      <c r="CP37" s="406"/>
      <c r="CQ37" s="406"/>
      <c r="CR37" s="406"/>
      <c r="CS37" s="406"/>
      <c r="CT37" s="406"/>
      <c r="CU37" s="406"/>
      <c r="CV37" s="406"/>
      <c r="CW37" s="406"/>
      <c r="CX37" s="406"/>
      <c r="CY37" s="406"/>
      <c r="CZ37" s="406"/>
      <c r="DA37" s="144"/>
      <c r="DB37" s="144"/>
      <c r="DC37" s="78"/>
      <c r="DD37" s="78"/>
      <c r="DE37" s="78"/>
    </row>
    <row r="38" spans="1:109" ht="12" hidden="1" customHeight="1">
      <c r="A38" s="130"/>
      <c r="B38" s="131" t="s">
        <v>279</v>
      </c>
      <c r="C38" s="132" t="s">
        <v>54</v>
      </c>
      <c r="D38" s="31"/>
      <c r="E38" s="31"/>
      <c r="F38" s="31"/>
      <c r="G38" s="31"/>
      <c r="H38" s="134"/>
      <c r="I38" s="134"/>
      <c r="J38" s="134"/>
      <c r="K38" s="134"/>
      <c r="L38" s="134">
        <v>0</v>
      </c>
      <c r="M38" s="134">
        <v>75.939980000000006</v>
      </c>
      <c r="N38" s="134"/>
      <c r="O38" s="134">
        <v>25.313326</v>
      </c>
      <c r="P38" s="134"/>
      <c r="Q38" s="134"/>
      <c r="R38" s="134"/>
      <c r="S38" s="134">
        <v>16.875551000000002</v>
      </c>
      <c r="T38" s="134"/>
      <c r="U38" s="134">
        <v>33.751103000000001</v>
      </c>
      <c r="V38" s="134"/>
      <c r="W38" s="134"/>
      <c r="X38" s="134"/>
      <c r="Y38" s="155"/>
      <c r="Z38" s="134">
        <v>0</v>
      </c>
      <c r="AA38" s="134">
        <v>41.609270000000002</v>
      </c>
      <c r="AB38" s="134"/>
      <c r="AC38" s="134"/>
      <c r="AD38" s="134"/>
      <c r="AE38" s="134"/>
      <c r="AF38" s="134"/>
      <c r="AG38" s="134"/>
      <c r="AH38" s="134"/>
      <c r="AI38" s="134"/>
      <c r="AJ38" s="134"/>
      <c r="AK38" s="156"/>
      <c r="AL38" s="134">
        <v>0</v>
      </c>
      <c r="AM38" s="134">
        <v>41.609270000000002</v>
      </c>
      <c r="AN38" s="134"/>
      <c r="AO38" s="134"/>
      <c r="AP38" s="134"/>
      <c r="AQ38" s="134"/>
      <c r="AR38" s="134"/>
      <c r="AS38" s="134"/>
      <c r="AT38" s="134"/>
      <c r="AU38" s="134"/>
      <c r="AV38" s="134"/>
      <c r="AW38" s="156"/>
      <c r="AX38" s="31"/>
      <c r="AY38" s="31"/>
      <c r="AZ38" s="109"/>
      <c r="BA38" s="62"/>
      <c r="BB38" s="62"/>
      <c r="BC38" s="62"/>
      <c r="BD38" s="62"/>
      <c r="BE38" s="110"/>
      <c r="BF38" s="109"/>
      <c r="BG38" s="62"/>
      <c r="BH38" s="62"/>
      <c r="BI38" s="110">
        <f>AY38</f>
        <v>0</v>
      </c>
      <c r="BJ38" s="426"/>
      <c r="BK38" s="427"/>
      <c r="BL38" s="428"/>
      <c r="BM38" s="109">
        <v>41.609270000000002</v>
      </c>
      <c r="BN38" s="62"/>
      <c r="BO38" s="429"/>
      <c r="BP38" s="109"/>
      <c r="BQ38" s="62"/>
      <c r="BR38" s="62"/>
      <c r="BS38" s="430"/>
      <c r="BT38" s="109"/>
      <c r="BU38" s="62"/>
      <c r="BV38" s="62"/>
      <c r="BW38" s="430"/>
      <c r="BX38" s="431"/>
      <c r="BY38" s="432">
        <v>0</v>
      </c>
      <c r="BZ38" s="31">
        <v>444.44</v>
      </c>
      <c r="CA38" s="109">
        <f>BZ38-BY38</f>
        <v>444.44</v>
      </c>
      <c r="CB38" s="433">
        <v>0</v>
      </c>
      <c r="CC38" s="72">
        <f>BZ38-E38</f>
        <v>444.44</v>
      </c>
      <c r="CD38" s="434">
        <f>BZ38-CE38</f>
        <v>388.47</v>
      </c>
      <c r="CE38" s="62">
        <v>55.97</v>
      </c>
      <c r="CF38" s="110"/>
      <c r="CG38" s="406"/>
      <c r="CH38" s="406"/>
      <c r="CI38" s="406"/>
      <c r="CJ38" s="406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31"/>
      <c r="DB38" s="31"/>
      <c r="DC38" s="31"/>
      <c r="DD38" s="31"/>
      <c r="DE38" s="31"/>
    </row>
    <row r="39" spans="1:109" ht="12" hidden="1" customHeight="1">
      <c r="A39" s="152">
        <v>3</v>
      </c>
      <c r="B39" s="153" t="s">
        <v>106</v>
      </c>
      <c r="C39" s="116" t="s">
        <v>54</v>
      </c>
      <c r="D39" s="117">
        <f>SUM(D40:D49)</f>
        <v>42996.6</v>
      </c>
      <c r="E39" s="117">
        <f>SUM(E40:E49)</f>
        <v>42996.6</v>
      </c>
      <c r="F39" s="117">
        <f>SUM(F40:F49)</f>
        <v>42996.6</v>
      </c>
      <c r="G39" s="117">
        <f>SUM(G40:G49)</f>
        <v>42996.6</v>
      </c>
      <c r="H39" s="117"/>
      <c r="I39" s="117"/>
      <c r="J39" s="117"/>
      <c r="K39" s="117"/>
      <c r="L39" s="117"/>
      <c r="M39" s="117">
        <f>SUM(M40:M49)</f>
        <v>1441.03098</v>
      </c>
      <c r="N39" s="117"/>
      <c r="O39" s="117">
        <f>SUM(O40:O49)</f>
        <v>927.74</v>
      </c>
      <c r="P39" s="117"/>
      <c r="Q39" s="117"/>
      <c r="R39" s="117"/>
      <c r="S39" s="117">
        <f>SUM(S40:S49)</f>
        <v>107.211</v>
      </c>
      <c r="T39" s="117"/>
      <c r="U39" s="117">
        <f>SUM(U40:U49)</f>
        <v>316.55</v>
      </c>
      <c r="V39" s="117">
        <f>SUM(V40:V49)</f>
        <v>89.53</v>
      </c>
      <c r="W39" s="117">
        <f>SUM(W40:W49)</f>
        <v>0</v>
      </c>
      <c r="X39" s="117"/>
      <c r="Y39" s="119"/>
      <c r="Z39" s="117"/>
      <c r="AA39" s="117">
        <f>SUM(AA40:AA49)</f>
        <v>0</v>
      </c>
      <c r="AB39" s="117"/>
      <c r="AC39" s="117"/>
      <c r="AD39" s="117"/>
      <c r="AE39" s="117"/>
      <c r="AF39" s="117"/>
      <c r="AG39" s="117"/>
      <c r="AH39" s="117"/>
      <c r="AI39" s="117"/>
      <c r="AJ39" s="117"/>
      <c r="AK39" s="120"/>
      <c r="AL39" s="117"/>
      <c r="AM39" s="117">
        <f>SUM(AM40:AM49)</f>
        <v>0</v>
      </c>
      <c r="AN39" s="117"/>
      <c r="AO39" s="117"/>
      <c r="AP39" s="117"/>
      <c r="AQ39" s="117"/>
      <c r="AR39" s="117"/>
      <c r="AS39" s="117"/>
      <c r="AT39" s="117"/>
      <c r="AU39" s="117"/>
      <c r="AV39" s="117"/>
      <c r="AW39" s="120"/>
      <c r="AX39" s="117">
        <f>SUM(AX40:AX49)</f>
        <v>21498.3</v>
      </c>
      <c r="AY39" s="117">
        <f>SUM(AY40:AY49)</f>
        <v>33015.550000000003</v>
      </c>
      <c r="AZ39" s="121"/>
      <c r="BA39" s="122">
        <f t="shared" ref="BA39:BI39" si="7">SUM(BA40:BA49)</f>
        <v>21245.19</v>
      </c>
      <c r="BB39" s="122">
        <f t="shared" si="7"/>
        <v>3192.5</v>
      </c>
      <c r="BC39" s="122">
        <f t="shared" si="7"/>
        <v>11770.36</v>
      </c>
      <c r="BD39" s="122">
        <f t="shared" si="7"/>
        <v>0</v>
      </c>
      <c r="BE39" s="123">
        <f t="shared" si="7"/>
        <v>0</v>
      </c>
      <c r="BF39" s="121">
        <f t="shared" si="7"/>
        <v>0</v>
      </c>
      <c r="BG39" s="122">
        <f t="shared" si="7"/>
        <v>0</v>
      </c>
      <c r="BH39" s="122">
        <f t="shared" si="7"/>
        <v>0</v>
      </c>
      <c r="BI39" s="123">
        <f t="shared" si="7"/>
        <v>0</v>
      </c>
      <c r="BJ39" s="288">
        <f>BA39-AZ39</f>
        <v>21245.19</v>
      </c>
      <c r="BK39" s="407"/>
      <c r="BL39" s="408"/>
      <c r="BM39" s="121">
        <f>SUM(BM40:BM49)</f>
        <v>0</v>
      </c>
      <c r="BN39" s="122"/>
      <c r="BO39" s="409"/>
      <c r="BP39" s="121"/>
      <c r="BQ39" s="122"/>
      <c r="BR39" s="122"/>
      <c r="BS39" s="410"/>
      <c r="BT39" s="121"/>
      <c r="BU39" s="122"/>
      <c r="BV39" s="122"/>
      <c r="BW39" s="410"/>
      <c r="BX39" s="411">
        <f>BX40+BX41</f>
        <v>23075.739999999998</v>
      </c>
      <c r="BY39" s="412">
        <f>SUM(BY40:BY49)</f>
        <v>0</v>
      </c>
      <c r="BZ39" s="117">
        <f>SUM(BZ40:BZ49)</f>
        <v>1441.03098</v>
      </c>
      <c r="CA39" s="121">
        <f>BZ39-BY39</f>
        <v>1441.03098</v>
      </c>
      <c r="CB39" s="413" t="e">
        <f>BZ39/BY39</f>
        <v>#DIV/0!</v>
      </c>
      <c r="CC39" s="414">
        <f>BZ39-E39</f>
        <v>-41555.569019999995</v>
      </c>
      <c r="CD39" s="415">
        <f>SUM(CD40:CD49)</f>
        <v>28379.71</v>
      </c>
      <c r="CE39" s="122">
        <f>SUM(CE40:CE49)</f>
        <v>1597.61</v>
      </c>
      <c r="CF39" s="123">
        <f>SUM(CF40:CF49)</f>
        <v>0</v>
      </c>
      <c r="CG39" s="416"/>
      <c r="CH39" s="416"/>
      <c r="CI39" s="416"/>
      <c r="CJ39" s="416"/>
      <c r="CK39" s="416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117">
        <f>SUM(DA40:DA49)</f>
        <v>42643.78</v>
      </c>
      <c r="DB39" s="117">
        <f>SUM(DB40:DB49)</f>
        <v>45542.131000000001</v>
      </c>
      <c r="DC39" s="117">
        <f>SUM(DC40:DC49)</f>
        <v>42996.6</v>
      </c>
      <c r="DD39" s="117">
        <f>SUM(DD40:DD49)</f>
        <v>42996.6</v>
      </c>
      <c r="DE39" s="117">
        <f>SUM(DE40:DE49)</f>
        <v>42996.6</v>
      </c>
    </row>
    <row r="40" spans="1:109" ht="12" hidden="1" customHeight="1">
      <c r="A40" s="124"/>
      <c r="B40" s="125" t="s">
        <v>87</v>
      </c>
      <c r="C40" s="126" t="s">
        <v>54</v>
      </c>
      <c r="D40" s="78">
        <v>28671.39</v>
      </c>
      <c r="E40" s="78">
        <v>28671.39</v>
      </c>
      <c r="F40" s="78">
        <v>28671.39</v>
      </c>
      <c r="G40" s="78">
        <v>28671.39</v>
      </c>
      <c r="H40" s="3"/>
      <c r="I40" s="3"/>
      <c r="J40" s="3"/>
      <c r="K40" s="3"/>
      <c r="L40" s="3"/>
      <c r="M40" s="3">
        <v>927.74381000000005</v>
      </c>
      <c r="N40" s="3"/>
      <c r="O40" s="3">
        <v>927.74</v>
      </c>
      <c r="P40" s="3"/>
      <c r="Q40" s="3"/>
      <c r="R40" s="3"/>
      <c r="S40" s="3"/>
      <c r="T40" s="3"/>
      <c r="U40" s="3"/>
      <c r="V40" s="3"/>
      <c r="W40" s="3"/>
      <c r="X40" s="3"/>
      <c r="Y40" s="5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6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6"/>
      <c r="AX40" s="33">
        <f>G40/2</f>
        <v>14335.695</v>
      </c>
      <c r="AY40" s="33">
        <v>21245.19</v>
      </c>
      <c r="AZ40" s="102"/>
      <c r="BA40" s="103">
        <f>AY40</f>
        <v>21245.19</v>
      </c>
      <c r="BB40" s="103"/>
      <c r="BC40" s="103"/>
      <c r="BD40" s="103"/>
      <c r="BE40" s="104"/>
      <c r="BF40" s="102"/>
      <c r="BG40" s="103"/>
      <c r="BH40" s="103"/>
      <c r="BI40" s="104"/>
      <c r="BJ40" s="417">
        <f>BA40-AZ40</f>
        <v>21245.19</v>
      </c>
      <c r="BK40" s="418" t="e">
        <f>BA40/AZ40</f>
        <v>#DIV/0!</v>
      </c>
      <c r="BL40" s="419"/>
      <c r="BM40" s="102"/>
      <c r="BN40" s="103"/>
      <c r="BO40" s="420"/>
      <c r="BP40" s="102"/>
      <c r="BQ40" s="103"/>
      <c r="BR40" s="103"/>
      <c r="BS40" s="421"/>
      <c r="BT40" s="102"/>
      <c r="BU40" s="103"/>
      <c r="BV40" s="103"/>
      <c r="BW40" s="421"/>
      <c r="BX40" s="422">
        <v>14729.36</v>
      </c>
      <c r="BY40" s="423">
        <f>L40+BL40+BP40+BT40</f>
        <v>0</v>
      </c>
      <c r="BZ40" s="33">
        <f>M40+BM40+BQ40+BU40</f>
        <v>927.74381000000005</v>
      </c>
      <c r="CA40" s="102">
        <f>BZ40-BY40</f>
        <v>927.74381000000005</v>
      </c>
      <c r="CB40" s="424" t="e">
        <f>BZ40/BY40</f>
        <v>#DIV/0!</v>
      </c>
      <c r="CC40" s="93">
        <f>BZ40-E40</f>
        <v>-27743.646189999999</v>
      </c>
      <c r="CD40" s="425">
        <v>18016.63</v>
      </c>
      <c r="CE40" s="103"/>
      <c r="CF40" s="104"/>
      <c r="CG40" s="406"/>
      <c r="CH40" s="406"/>
      <c r="CI40" s="406"/>
      <c r="CJ40" s="406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33">
        <f>DA29*90/100</f>
        <v>25692.84</v>
      </c>
      <c r="DB40" s="33">
        <f>DB29*90/100</f>
        <v>27811.439999999999</v>
      </c>
      <c r="DC40" s="78">
        <v>28671.39</v>
      </c>
      <c r="DD40" s="78">
        <v>28671.39</v>
      </c>
      <c r="DE40" s="78">
        <v>28671.39</v>
      </c>
    </row>
    <row r="41" spans="1:109" ht="12" hidden="1" customHeight="1">
      <c r="A41" s="130"/>
      <c r="B41" s="131" t="s">
        <v>88</v>
      </c>
      <c r="C41" s="132" t="s">
        <v>54</v>
      </c>
      <c r="D41" s="31">
        <v>14325.21</v>
      </c>
      <c r="E41" s="31">
        <v>14325.21</v>
      </c>
      <c r="F41" s="31">
        <v>14325.21</v>
      </c>
      <c r="G41" s="31">
        <v>14325.21</v>
      </c>
      <c r="H41" s="134"/>
      <c r="I41" s="134"/>
      <c r="J41" s="134"/>
      <c r="K41" s="134"/>
      <c r="L41" s="134"/>
      <c r="M41" s="134">
        <v>423.75716999999997</v>
      </c>
      <c r="N41" s="134"/>
      <c r="O41" s="134"/>
      <c r="P41" s="134"/>
      <c r="Q41" s="134"/>
      <c r="R41" s="134"/>
      <c r="S41" s="134">
        <v>107.211</v>
      </c>
      <c r="T41" s="134"/>
      <c r="U41" s="134">
        <v>316.55</v>
      </c>
      <c r="V41" s="134"/>
      <c r="W41" s="134"/>
      <c r="X41" s="134"/>
      <c r="Y41" s="155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56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56"/>
      <c r="AX41" s="31">
        <f>G41/2</f>
        <v>7162.6049999999996</v>
      </c>
      <c r="AY41" s="31">
        <v>11770.36</v>
      </c>
      <c r="AZ41" s="109"/>
      <c r="BA41" s="62"/>
      <c r="BB41" s="62">
        <v>3192.5</v>
      </c>
      <c r="BC41" s="62">
        <f>AY41</f>
        <v>11770.36</v>
      </c>
      <c r="BD41" s="62"/>
      <c r="BE41" s="110"/>
      <c r="BF41" s="109"/>
      <c r="BG41" s="62"/>
      <c r="BH41" s="62"/>
      <c r="BI41" s="110"/>
      <c r="BJ41" s="426">
        <f>BC41-BB41</f>
        <v>8577.86</v>
      </c>
      <c r="BK41" s="427">
        <f>BC41/BB41</f>
        <v>3.6868786217697731</v>
      </c>
      <c r="BL41" s="428"/>
      <c r="BM41" s="109"/>
      <c r="BN41" s="62"/>
      <c r="BO41" s="429"/>
      <c r="BP41" s="109"/>
      <c r="BQ41" s="62"/>
      <c r="BR41" s="62"/>
      <c r="BS41" s="430"/>
      <c r="BT41" s="109"/>
      <c r="BU41" s="62"/>
      <c r="BV41" s="62"/>
      <c r="BW41" s="430"/>
      <c r="BX41" s="431">
        <v>8346.3799999999992</v>
      </c>
      <c r="BY41" s="432">
        <f>L41+BL41+BP41+BT41</f>
        <v>0</v>
      </c>
      <c r="BZ41" s="31">
        <f>M41+BM41+BQ41+BU41</f>
        <v>423.75716999999997</v>
      </c>
      <c r="CA41" s="109">
        <f>BZ41-BY41</f>
        <v>423.75716999999997</v>
      </c>
      <c r="CB41" s="433" t="e">
        <f>BZ41/BY41</f>
        <v>#DIV/0!</v>
      </c>
      <c r="CC41" s="72">
        <f>BZ41-E41</f>
        <v>-13901.452829999998</v>
      </c>
      <c r="CD41" s="434">
        <v>10363.08</v>
      </c>
      <c r="CE41" s="62"/>
      <c r="CF41" s="110"/>
      <c r="CG41" s="406"/>
      <c r="CH41" s="406"/>
      <c r="CI41" s="406"/>
      <c r="CJ41" s="406"/>
      <c r="CK41" s="406"/>
      <c r="CL41" s="406"/>
      <c r="CM41" s="406"/>
      <c r="CN41" s="406"/>
      <c r="CO41" s="406"/>
      <c r="CP41" s="406"/>
      <c r="CQ41" s="406"/>
      <c r="CR41" s="406"/>
      <c r="CS41" s="406"/>
      <c r="CT41" s="406"/>
      <c r="CU41" s="406"/>
      <c r="CV41" s="406"/>
      <c r="CW41" s="406"/>
      <c r="CX41" s="406"/>
      <c r="CY41" s="406"/>
      <c r="CZ41" s="406"/>
      <c r="DA41" s="31">
        <f>DA30*90/100</f>
        <v>13270.14</v>
      </c>
      <c r="DB41" s="31">
        <f>DB30*90/100</f>
        <v>14049.891000000001</v>
      </c>
      <c r="DC41" s="31">
        <v>14325.21</v>
      </c>
      <c r="DD41" s="31">
        <v>14325.21</v>
      </c>
      <c r="DE41" s="31">
        <v>14325.21</v>
      </c>
    </row>
    <row r="42" spans="1:109" ht="12" hidden="1" customHeight="1">
      <c r="A42" s="130"/>
      <c r="B42" s="131" t="s">
        <v>278</v>
      </c>
      <c r="C42" s="132" t="s">
        <v>54</v>
      </c>
      <c r="D42" s="31">
        <v>0</v>
      </c>
      <c r="E42" s="31">
        <v>0</v>
      </c>
      <c r="F42" s="31">
        <v>0</v>
      </c>
      <c r="G42" s="31">
        <v>0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55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56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56"/>
      <c r="AX42" s="31"/>
      <c r="AY42" s="31">
        <v>0</v>
      </c>
      <c r="AZ42" s="109"/>
      <c r="BA42" s="62"/>
      <c r="BB42" s="62"/>
      <c r="BC42" s="62"/>
      <c r="BD42" s="62"/>
      <c r="BE42" s="110">
        <f>AY42</f>
        <v>0</v>
      </c>
      <c r="BF42" s="109"/>
      <c r="BG42" s="62"/>
      <c r="BH42" s="62"/>
      <c r="BI42" s="110"/>
      <c r="BJ42" s="426"/>
      <c r="BK42" s="427"/>
      <c r="BL42" s="428"/>
      <c r="BM42" s="109"/>
      <c r="BN42" s="62"/>
      <c r="BO42" s="429"/>
      <c r="BP42" s="109"/>
      <c r="BQ42" s="62"/>
      <c r="BR42" s="62"/>
      <c r="BS42" s="430"/>
      <c r="BT42" s="109"/>
      <c r="BU42" s="62"/>
      <c r="BV42" s="62"/>
      <c r="BW42" s="430"/>
      <c r="BX42" s="431"/>
      <c r="BY42" s="432"/>
      <c r="BZ42" s="31"/>
      <c r="CA42" s="109"/>
      <c r="CB42" s="433"/>
      <c r="CC42" s="72"/>
      <c r="CD42" s="434"/>
      <c r="CE42" s="62"/>
      <c r="CF42" s="110"/>
      <c r="CG42" s="406"/>
      <c r="CH42" s="406"/>
      <c r="CI42" s="406"/>
      <c r="CJ42" s="406"/>
      <c r="CK42" s="406"/>
      <c r="CL42" s="406"/>
      <c r="CM42" s="406"/>
      <c r="CN42" s="406"/>
      <c r="CO42" s="406"/>
      <c r="CP42" s="406"/>
      <c r="CQ42" s="406"/>
      <c r="CR42" s="406"/>
      <c r="CS42" s="406"/>
      <c r="CT42" s="406"/>
      <c r="CU42" s="406"/>
      <c r="CV42" s="406"/>
      <c r="CW42" s="406"/>
      <c r="CX42" s="406"/>
      <c r="CY42" s="406"/>
      <c r="CZ42" s="406"/>
      <c r="DA42" s="31">
        <f>DA31</f>
        <v>3680.7999999999997</v>
      </c>
      <c r="DB42" s="31">
        <f>DB31</f>
        <v>3680.7999999999997</v>
      </c>
      <c r="DC42" s="31">
        <v>0</v>
      </c>
      <c r="DD42" s="31">
        <v>0</v>
      </c>
      <c r="DE42" s="31">
        <v>0</v>
      </c>
    </row>
    <row r="43" spans="1:109" ht="24" hidden="1" customHeight="1">
      <c r="A43" s="130"/>
      <c r="B43" s="142" t="s">
        <v>155</v>
      </c>
      <c r="C43" s="132" t="s">
        <v>54</v>
      </c>
      <c r="D43" s="31"/>
      <c r="E43" s="31"/>
      <c r="F43" s="31"/>
      <c r="G43" s="31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55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56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56"/>
      <c r="AX43" s="31"/>
      <c r="AY43" s="31"/>
      <c r="AZ43" s="109"/>
      <c r="BA43" s="62"/>
      <c r="BB43" s="62"/>
      <c r="BC43" s="62"/>
      <c r="BD43" s="62"/>
      <c r="BE43" s="110"/>
      <c r="BF43" s="109">
        <f>AY43</f>
        <v>0</v>
      </c>
      <c r="BG43" s="62"/>
      <c r="BH43" s="62"/>
      <c r="BI43" s="110"/>
      <c r="BJ43" s="426"/>
      <c r="BK43" s="427"/>
      <c r="BL43" s="428"/>
      <c r="BM43" s="109"/>
      <c r="BN43" s="62"/>
      <c r="BO43" s="429"/>
      <c r="BP43" s="109"/>
      <c r="BQ43" s="62"/>
      <c r="BR43" s="62"/>
      <c r="BS43" s="430"/>
      <c r="BT43" s="109"/>
      <c r="BU43" s="62"/>
      <c r="BV43" s="62"/>
      <c r="BW43" s="430"/>
      <c r="BX43" s="431"/>
      <c r="BY43" s="432"/>
      <c r="BZ43" s="31"/>
      <c r="CA43" s="109"/>
      <c r="CB43" s="433"/>
      <c r="CC43" s="72"/>
      <c r="CD43" s="434"/>
      <c r="CE43" s="62"/>
      <c r="CF43" s="110"/>
      <c r="CG43" s="406"/>
      <c r="CH43" s="406"/>
      <c r="CI43" s="406"/>
      <c r="CJ43" s="406"/>
      <c r="CK43" s="406"/>
      <c r="CL43" s="406"/>
      <c r="CM43" s="406"/>
      <c r="CN43" s="406"/>
      <c r="CO43" s="406"/>
      <c r="CP43" s="406"/>
      <c r="CQ43" s="406"/>
      <c r="CR43" s="406"/>
      <c r="CS43" s="406"/>
      <c r="CT43" s="406"/>
      <c r="CU43" s="406"/>
      <c r="CV43" s="406"/>
      <c r="CW43" s="406"/>
      <c r="CX43" s="406"/>
      <c r="CY43" s="406"/>
      <c r="CZ43" s="406"/>
      <c r="DA43" s="31"/>
      <c r="DB43" s="31"/>
      <c r="DC43" s="31"/>
      <c r="DD43" s="31"/>
      <c r="DE43" s="31"/>
    </row>
    <row r="44" spans="1:109" ht="12" hidden="1" customHeight="1">
      <c r="A44" s="130"/>
      <c r="B44" s="131" t="s">
        <v>204</v>
      </c>
      <c r="C44" s="132" t="s">
        <v>54</v>
      </c>
      <c r="D44" s="31"/>
      <c r="E44" s="31"/>
      <c r="F44" s="31"/>
      <c r="G44" s="31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55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56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56"/>
      <c r="AX44" s="31"/>
      <c r="AY44" s="31"/>
      <c r="AZ44" s="109"/>
      <c r="BA44" s="62"/>
      <c r="BB44" s="62"/>
      <c r="BC44" s="62"/>
      <c r="BD44" s="62"/>
      <c r="BE44" s="110"/>
      <c r="BF44" s="109"/>
      <c r="BG44" s="62">
        <f>AY44</f>
        <v>0</v>
      </c>
      <c r="BH44" s="62"/>
      <c r="BI44" s="110"/>
      <c r="BJ44" s="426"/>
      <c r="BK44" s="427"/>
      <c r="BL44" s="428"/>
      <c r="BM44" s="109"/>
      <c r="BN44" s="62"/>
      <c r="BO44" s="429"/>
      <c r="BP44" s="109"/>
      <c r="BQ44" s="62"/>
      <c r="BR44" s="62"/>
      <c r="BS44" s="430"/>
      <c r="BT44" s="109"/>
      <c r="BU44" s="62"/>
      <c r="BV44" s="62"/>
      <c r="BW44" s="430"/>
      <c r="BX44" s="431"/>
      <c r="BY44" s="432"/>
      <c r="BZ44" s="31"/>
      <c r="CA44" s="109"/>
      <c r="CB44" s="433"/>
      <c r="CC44" s="72"/>
      <c r="CD44" s="434"/>
      <c r="CE44" s="62"/>
      <c r="CF44" s="110"/>
      <c r="CG44" s="406"/>
      <c r="CH44" s="406"/>
      <c r="CI44" s="406"/>
      <c r="CJ44" s="406"/>
      <c r="CK44" s="406"/>
      <c r="CL44" s="406"/>
      <c r="CM44" s="406"/>
      <c r="CN44" s="406"/>
      <c r="CO44" s="406"/>
      <c r="CP44" s="406"/>
      <c r="CQ44" s="406"/>
      <c r="CR44" s="406"/>
      <c r="CS44" s="406"/>
      <c r="CT44" s="406"/>
      <c r="CU44" s="406"/>
      <c r="CV44" s="406"/>
      <c r="CW44" s="406"/>
      <c r="CX44" s="406"/>
      <c r="CY44" s="406"/>
      <c r="CZ44" s="406"/>
      <c r="DA44" s="31"/>
      <c r="DB44" s="31"/>
      <c r="DC44" s="31"/>
      <c r="DD44" s="31"/>
      <c r="DE44" s="31"/>
    </row>
    <row r="45" spans="1:109" ht="12" hidden="1" customHeight="1">
      <c r="A45" s="130"/>
      <c r="B45" s="131" t="s">
        <v>91</v>
      </c>
      <c r="C45" s="132" t="s">
        <v>54</v>
      </c>
      <c r="D45" s="31"/>
      <c r="E45" s="31"/>
      <c r="F45" s="31"/>
      <c r="G45" s="31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55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56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56"/>
      <c r="AX45" s="31"/>
      <c r="AY45" s="31"/>
      <c r="AZ45" s="109"/>
      <c r="BA45" s="62"/>
      <c r="BB45" s="62"/>
      <c r="BC45" s="62"/>
      <c r="BD45" s="62"/>
      <c r="BE45" s="110"/>
      <c r="BF45" s="109"/>
      <c r="BG45" s="62">
        <f>AY45</f>
        <v>0</v>
      </c>
      <c r="BH45" s="62"/>
      <c r="BI45" s="110"/>
      <c r="BJ45" s="426"/>
      <c r="BK45" s="427"/>
      <c r="BL45" s="428"/>
      <c r="BM45" s="109"/>
      <c r="BN45" s="62"/>
      <c r="BO45" s="429"/>
      <c r="BP45" s="109"/>
      <c r="BQ45" s="62"/>
      <c r="BR45" s="62"/>
      <c r="BS45" s="430"/>
      <c r="BT45" s="109"/>
      <c r="BU45" s="62"/>
      <c r="BV45" s="62"/>
      <c r="BW45" s="430"/>
      <c r="BX45" s="431"/>
      <c r="BY45" s="432"/>
      <c r="BZ45" s="31"/>
      <c r="CA45" s="109"/>
      <c r="CB45" s="433"/>
      <c r="CC45" s="72"/>
      <c r="CD45" s="434"/>
      <c r="CE45" s="62"/>
      <c r="CF45" s="110"/>
      <c r="CG45" s="406"/>
      <c r="CH45" s="406"/>
      <c r="CI45" s="406"/>
      <c r="CJ45" s="406"/>
      <c r="CK45" s="406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406"/>
      <c r="CY45" s="406"/>
      <c r="CZ45" s="406"/>
      <c r="DA45" s="31"/>
      <c r="DB45" s="31"/>
      <c r="DC45" s="31"/>
      <c r="DD45" s="31"/>
      <c r="DE45" s="31"/>
    </row>
    <row r="46" spans="1:109" ht="12" hidden="1" customHeight="1">
      <c r="A46" s="130"/>
      <c r="B46" s="131" t="s">
        <v>137</v>
      </c>
      <c r="C46" s="132" t="s">
        <v>54</v>
      </c>
      <c r="D46" s="31"/>
      <c r="E46" s="31"/>
      <c r="F46" s="31"/>
      <c r="G46" s="31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55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56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56"/>
      <c r="AX46" s="31"/>
      <c r="AY46" s="31"/>
      <c r="AZ46" s="109"/>
      <c r="BA46" s="62"/>
      <c r="BB46" s="62"/>
      <c r="BC46" s="62"/>
      <c r="BD46" s="62"/>
      <c r="BE46" s="110"/>
      <c r="BF46" s="109"/>
      <c r="BG46" s="62"/>
      <c r="BH46" s="62">
        <f>AY46</f>
        <v>0</v>
      </c>
      <c r="BI46" s="110"/>
      <c r="BJ46" s="426"/>
      <c r="BK46" s="427"/>
      <c r="BL46" s="428"/>
      <c r="BM46" s="109"/>
      <c r="BN46" s="62"/>
      <c r="BO46" s="429"/>
      <c r="BP46" s="109"/>
      <c r="BQ46" s="62"/>
      <c r="BR46" s="62"/>
      <c r="BS46" s="430"/>
      <c r="BT46" s="109"/>
      <c r="BU46" s="62"/>
      <c r="BV46" s="62"/>
      <c r="BW46" s="430"/>
      <c r="BX46" s="431"/>
      <c r="BY46" s="432"/>
      <c r="BZ46" s="31"/>
      <c r="CA46" s="109"/>
      <c r="CB46" s="433"/>
      <c r="CC46" s="72"/>
      <c r="CD46" s="434"/>
      <c r="CE46" s="62"/>
      <c r="CF46" s="110"/>
      <c r="CG46" s="406"/>
      <c r="CH46" s="406"/>
      <c r="CI46" s="406"/>
      <c r="CJ46" s="406"/>
      <c r="CK46" s="406"/>
      <c r="CL46" s="406"/>
      <c r="CM46" s="406"/>
      <c r="CN46" s="406"/>
      <c r="CO46" s="406"/>
      <c r="CP46" s="406"/>
      <c r="CQ46" s="406"/>
      <c r="CR46" s="406"/>
      <c r="CS46" s="406"/>
      <c r="CT46" s="406"/>
      <c r="CU46" s="406"/>
      <c r="CV46" s="406"/>
      <c r="CW46" s="406"/>
      <c r="CX46" s="406"/>
      <c r="CY46" s="406"/>
      <c r="CZ46" s="406"/>
      <c r="DA46" s="31"/>
      <c r="DB46" s="31"/>
      <c r="DC46" s="31"/>
      <c r="DD46" s="31"/>
      <c r="DE46" s="31"/>
    </row>
    <row r="47" spans="1:109" ht="12" hidden="1" customHeight="1">
      <c r="A47" s="130"/>
      <c r="B47" s="131" t="s">
        <v>110</v>
      </c>
      <c r="C47" s="132" t="s">
        <v>54</v>
      </c>
      <c r="D47" s="31"/>
      <c r="E47" s="31"/>
      <c r="F47" s="31"/>
      <c r="G47" s="31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55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56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56"/>
      <c r="AX47" s="31"/>
      <c r="AY47" s="31"/>
      <c r="AZ47" s="109"/>
      <c r="BA47" s="62"/>
      <c r="BB47" s="62"/>
      <c r="BC47" s="62"/>
      <c r="BD47" s="62"/>
      <c r="BE47" s="110"/>
      <c r="BF47" s="109"/>
      <c r="BG47" s="62"/>
      <c r="BH47" s="62">
        <f>AY47</f>
        <v>0</v>
      </c>
      <c r="BI47" s="110"/>
      <c r="BJ47" s="426"/>
      <c r="BK47" s="427"/>
      <c r="BL47" s="428"/>
      <c r="BM47" s="109"/>
      <c r="BN47" s="62"/>
      <c r="BO47" s="429"/>
      <c r="BP47" s="109"/>
      <c r="BQ47" s="62"/>
      <c r="BR47" s="62"/>
      <c r="BS47" s="430"/>
      <c r="BT47" s="109"/>
      <c r="BU47" s="62"/>
      <c r="BV47" s="62"/>
      <c r="BW47" s="430"/>
      <c r="BX47" s="431"/>
      <c r="BY47" s="432"/>
      <c r="BZ47" s="31"/>
      <c r="CA47" s="109"/>
      <c r="CB47" s="433"/>
      <c r="CC47" s="72"/>
      <c r="CD47" s="434"/>
      <c r="CE47" s="62"/>
      <c r="CF47" s="110"/>
      <c r="CG47" s="406"/>
      <c r="CH47" s="406"/>
      <c r="CI47" s="406"/>
      <c r="CJ47" s="406"/>
      <c r="CK47" s="406"/>
      <c r="CL47" s="406"/>
      <c r="CM47" s="406"/>
      <c r="CN47" s="406"/>
      <c r="CO47" s="406"/>
      <c r="CP47" s="406"/>
      <c r="CQ47" s="406"/>
      <c r="CR47" s="406"/>
      <c r="CS47" s="406"/>
      <c r="CT47" s="406"/>
      <c r="CU47" s="406"/>
      <c r="CV47" s="406"/>
      <c r="CW47" s="406"/>
      <c r="CX47" s="406"/>
      <c r="CY47" s="406"/>
      <c r="CZ47" s="406"/>
      <c r="DA47" s="31"/>
      <c r="DB47" s="31"/>
      <c r="DC47" s="31"/>
      <c r="DD47" s="31"/>
      <c r="DE47" s="31"/>
    </row>
    <row r="48" spans="1:109" ht="12" hidden="1" customHeight="1">
      <c r="A48" s="130"/>
      <c r="B48" s="142" t="s">
        <v>109</v>
      </c>
      <c r="C48" s="132" t="s">
        <v>54</v>
      </c>
      <c r="D48" s="78"/>
      <c r="E48" s="78"/>
      <c r="F48" s="78"/>
      <c r="G48" s="78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55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56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56"/>
      <c r="AX48" s="31"/>
      <c r="AY48" s="31"/>
      <c r="AZ48" s="109"/>
      <c r="BA48" s="62"/>
      <c r="BB48" s="62"/>
      <c r="BC48" s="62"/>
      <c r="BD48" s="62"/>
      <c r="BE48" s="110"/>
      <c r="BF48" s="109"/>
      <c r="BG48" s="62"/>
      <c r="BH48" s="62">
        <f>AY48</f>
        <v>0</v>
      </c>
      <c r="BI48" s="110"/>
      <c r="BJ48" s="426"/>
      <c r="BK48" s="427"/>
      <c r="BL48" s="428"/>
      <c r="BM48" s="109"/>
      <c r="BN48" s="62"/>
      <c r="BO48" s="429"/>
      <c r="BP48" s="109"/>
      <c r="BQ48" s="62"/>
      <c r="BR48" s="62"/>
      <c r="BS48" s="430"/>
      <c r="BT48" s="109"/>
      <c r="BU48" s="62"/>
      <c r="BV48" s="62"/>
      <c r="BW48" s="430"/>
      <c r="BX48" s="431"/>
      <c r="BY48" s="432"/>
      <c r="BZ48" s="31"/>
      <c r="CA48" s="109"/>
      <c r="CB48" s="433"/>
      <c r="CC48" s="72"/>
      <c r="CD48" s="434"/>
      <c r="CE48" s="62"/>
      <c r="CF48" s="110"/>
      <c r="CG48" s="406"/>
      <c r="CH48" s="406"/>
      <c r="CI48" s="406"/>
      <c r="CJ48" s="406"/>
      <c r="CK48" s="406"/>
      <c r="CL48" s="406"/>
      <c r="CM48" s="406"/>
      <c r="CN48" s="406"/>
      <c r="CO48" s="406"/>
      <c r="CP48" s="406"/>
      <c r="CQ48" s="406"/>
      <c r="CR48" s="406"/>
      <c r="CS48" s="406"/>
      <c r="CT48" s="406"/>
      <c r="CU48" s="406"/>
      <c r="CV48" s="406"/>
      <c r="CW48" s="406"/>
      <c r="CX48" s="406"/>
      <c r="CY48" s="406"/>
      <c r="CZ48" s="406"/>
      <c r="DA48" s="31"/>
      <c r="DB48" s="31"/>
      <c r="DC48" s="78"/>
      <c r="DD48" s="78"/>
      <c r="DE48" s="78"/>
    </row>
    <row r="49" spans="1:110" ht="12" hidden="1" customHeight="1">
      <c r="A49" s="130"/>
      <c r="B49" s="131" t="s">
        <v>279</v>
      </c>
      <c r="C49" s="132" t="s">
        <v>54</v>
      </c>
      <c r="D49" s="31"/>
      <c r="E49" s="31"/>
      <c r="F49" s="31"/>
      <c r="G49" s="31"/>
      <c r="H49" s="134"/>
      <c r="I49" s="134"/>
      <c r="J49" s="134"/>
      <c r="K49" s="134"/>
      <c r="L49" s="134"/>
      <c r="M49" s="134">
        <v>89.53</v>
      </c>
      <c r="N49" s="134"/>
      <c r="O49" s="134"/>
      <c r="P49" s="134"/>
      <c r="Q49" s="134"/>
      <c r="R49" s="134"/>
      <c r="S49" s="134"/>
      <c r="T49" s="134"/>
      <c r="U49" s="134"/>
      <c r="V49" s="134">
        <v>89.53</v>
      </c>
      <c r="W49" s="134"/>
      <c r="X49" s="134"/>
      <c r="Y49" s="155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56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56"/>
      <c r="AX49" s="31"/>
      <c r="AY49" s="31"/>
      <c r="AZ49" s="109"/>
      <c r="BA49" s="62"/>
      <c r="BB49" s="62"/>
      <c r="BC49" s="62"/>
      <c r="BD49" s="62"/>
      <c r="BE49" s="110"/>
      <c r="BF49" s="109"/>
      <c r="BG49" s="62"/>
      <c r="BH49" s="62"/>
      <c r="BI49" s="110">
        <f>AY49</f>
        <v>0</v>
      </c>
      <c r="BJ49" s="426"/>
      <c r="BK49" s="427"/>
      <c r="BL49" s="428"/>
      <c r="BM49" s="109"/>
      <c r="BN49" s="62"/>
      <c r="BO49" s="429"/>
      <c r="BP49" s="109"/>
      <c r="BQ49" s="62"/>
      <c r="BR49" s="62"/>
      <c r="BS49" s="430"/>
      <c r="BT49" s="109"/>
      <c r="BU49" s="62"/>
      <c r="BV49" s="62"/>
      <c r="BW49" s="430"/>
      <c r="BX49" s="431"/>
      <c r="BY49" s="432">
        <v>0</v>
      </c>
      <c r="BZ49" s="31">
        <f>M49+BM49+BQ49+BU49</f>
        <v>89.53</v>
      </c>
      <c r="CA49" s="109">
        <f>BZ49-BY49</f>
        <v>89.53</v>
      </c>
      <c r="CB49" s="433">
        <v>0</v>
      </c>
      <c r="CC49" s="72">
        <f t="shared" ref="CC49:CC57" si="8">BZ49-E49</f>
        <v>89.53</v>
      </c>
      <c r="CD49" s="434"/>
      <c r="CE49" s="62">
        <v>1597.61</v>
      </c>
      <c r="CF49" s="110"/>
      <c r="CG49" s="406"/>
      <c r="CH49" s="406"/>
      <c r="CI49" s="406"/>
      <c r="CJ49" s="406"/>
      <c r="CK49" s="406"/>
      <c r="CL49" s="406"/>
      <c r="CM49" s="406"/>
      <c r="CN49" s="406"/>
      <c r="CO49" s="406"/>
      <c r="CP49" s="406"/>
      <c r="CQ49" s="406"/>
      <c r="CR49" s="406"/>
      <c r="CS49" s="406"/>
      <c r="CT49" s="406"/>
      <c r="CU49" s="406"/>
      <c r="CV49" s="406"/>
      <c r="CW49" s="406"/>
      <c r="CX49" s="406"/>
      <c r="CY49" s="406"/>
      <c r="CZ49" s="406"/>
      <c r="DA49" s="31"/>
      <c r="DB49" s="31"/>
      <c r="DC49" s="31"/>
      <c r="DD49" s="31"/>
      <c r="DE49" s="31"/>
    </row>
    <row r="50" spans="1:110">
      <c r="A50" s="159">
        <v>3</v>
      </c>
      <c r="B50" s="160" t="s">
        <v>285</v>
      </c>
      <c r="C50" s="397" t="s">
        <v>54</v>
      </c>
      <c r="D50" s="117">
        <f>SUM(D51,D52,D57,D68,D71,D85,D91)</f>
        <v>30755.831579999998</v>
      </c>
      <c r="E50" s="117">
        <f>SUM(E51,E52,E57,E68,E71,E85,E91)</f>
        <v>33328.181580000004</v>
      </c>
      <c r="F50" s="117">
        <f>SUM(F51,F52,F57,F68,F71,F85,F91)</f>
        <v>34690.887090000004</v>
      </c>
      <c r="G50" s="117">
        <f>SUM(G51,G52,G57,G68,G71,G85,G91)</f>
        <v>34690.891750000003</v>
      </c>
      <c r="H50" s="117" t="e">
        <f>H51+H52+#REF!+#REF!+#REF!+#REF!+#REF!+#REF!+#REF!+#REF!+#REF!</f>
        <v>#REF!</v>
      </c>
      <c r="I50" s="117" t="e">
        <f>I51+I52+#REF!+#REF!+#REF!+#REF!+#REF!+#REF!+#REF!+#REF!+#REF!</f>
        <v>#REF!</v>
      </c>
      <c r="J50" s="117" t="e">
        <f>J51+J52+#REF!+#REF!+#REF!+#REF!+#REF!+#REF!+#REF!+#REF!+#REF!</f>
        <v>#REF!</v>
      </c>
      <c r="K50" s="117" t="e">
        <f>K51+K52+#REF!+#REF!+#REF!+#REF!+#REF!+#REF!+#REF!+#REF!+#REF!</f>
        <v>#REF!</v>
      </c>
      <c r="L50" s="117" t="e">
        <f>L51+L52+#REF!+#REF!+#REF!+#REF!+#REF!+#REF!+#REF!+#REF!+#REF!</f>
        <v>#REF!</v>
      </c>
      <c r="M50" s="117" t="e">
        <f>M51+M52+#REF!+#REF!+#REF!+#REF!+#REF!+#REF!+#REF!+#REF!+#REF!</f>
        <v>#REF!</v>
      </c>
      <c r="N50" s="117" t="e">
        <f>N51+N52+#REF!+#REF!+#REF!+#REF!+#REF!+#REF!+#REF!+#REF!+#REF!</f>
        <v>#REF!</v>
      </c>
      <c r="O50" s="117" t="e">
        <f>O51+O52+#REF!+#REF!+#REF!+#REF!+#REF!+#REF!+#REF!+#REF!+#REF!</f>
        <v>#REF!</v>
      </c>
      <c r="P50" s="117" t="e">
        <f>P51+P52+#REF!+#REF!+#REF!+#REF!+#REF!+#REF!+#REF!+#REF!+#REF!</f>
        <v>#REF!</v>
      </c>
      <c r="Q50" s="117" t="e">
        <f>Q51+Q52+#REF!+#REF!+#REF!+#REF!+#REF!+#REF!+#REF!+#REF!+#REF!</f>
        <v>#REF!</v>
      </c>
      <c r="R50" s="117" t="e">
        <f>R51+R52+#REF!+#REF!+#REF!+#REF!+#REF!+#REF!+#REF!+#REF!+#REF!</f>
        <v>#REF!</v>
      </c>
      <c r="S50" s="117" t="e">
        <f>S51+S52+#REF!+#REF!+#REF!+#REF!+#REF!+#REF!+#REF!+#REF!+#REF!</f>
        <v>#REF!</v>
      </c>
      <c r="T50" s="117" t="e">
        <f>T51+T52+#REF!+#REF!+#REF!+#REF!+#REF!+#REF!+#REF!+#REF!+#REF!</f>
        <v>#REF!</v>
      </c>
      <c r="U50" s="117" t="e">
        <f>U51+U52+#REF!+#REF!+#REF!+#REF!+#REF!+#REF!+#REF!+#REF!+#REF!</f>
        <v>#REF!</v>
      </c>
      <c r="V50" s="117" t="e">
        <f>V51+V52+#REF!+#REF!+#REF!+#REF!</f>
        <v>#REF!</v>
      </c>
      <c r="W50" s="117"/>
      <c r="X50" s="162" t="e">
        <f t="shared" ref="X50:X56" si="9">O50-N50</f>
        <v>#REF!</v>
      </c>
      <c r="Y50" s="163" t="e">
        <f t="shared" ref="Y50:Y56" si="10">O50/N50</f>
        <v>#REF!</v>
      </c>
      <c r="Z50" s="117" t="e">
        <f>Z51+Z52+#REF!+#REF!+#REF!+#REF!+#REF!+#REF!+#REF!+#REF!+#REF!</f>
        <v>#REF!</v>
      </c>
      <c r="AA50" s="117" t="e">
        <f>AA51+AA52+#REF!+#REF!+#REF!+#REF!+#REF!+#REF!+#REF!+#REF!+#REF!</f>
        <v>#REF!</v>
      </c>
      <c r="AB50" s="117" t="e">
        <f>AB51+AB52+#REF!+#REF!+#REF!+#REF!+#REF!+#REF!+#REF!+#REF!+#REF!</f>
        <v>#REF!</v>
      </c>
      <c r="AC50" s="117" t="e">
        <f>AC51+AC52+#REF!+#REF!+#REF!+#REF!+#REF!+#REF!+#REF!+#REF!+#REF!</f>
        <v>#REF!</v>
      </c>
      <c r="AD50" s="117" t="e">
        <f>AD51+AD52+#REF!+#REF!+#REF!+#REF!+#REF!+#REF!+#REF!+#REF!+#REF!</f>
        <v>#REF!</v>
      </c>
      <c r="AE50" s="117" t="e">
        <f>AE51+AE52+#REF!+#REF!+#REF!+#REF!+#REF!+#REF!+#REF!+#REF!+#REF!</f>
        <v>#REF!</v>
      </c>
      <c r="AF50" s="117" t="e">
        <f>AF51+AF52+#REF!+#REF!+#REF!+#REF!+#REF!+#REF!+#REF!+#REF!+#REF!</f>
        <v>#REF!</v>
      </c>
      <c r="AG50" s="117" t="e">
        <f>AG51+AG52+#REF!+#REF!+#REF!+#REF!+#REF!+#REF!+#REF!+#REF!+#REF!</f>
        <v>#REF!</v>
      </c>
      <c r="AH50" s="117" t="e">
        <f>AH51+AH52+#REF!+#REF!+#REF!+#REF!</f>
        <v>#REF!</v>
      </c>
      <c r="AI50" s="117"/>
      <c r="AJ50" s="162" t="e">
        <f t="shared" ref="AJ50:AJ56" si="11">AC50-AB50</f>
        <v>#REF!</v>
      </c>
      <c r="AK50" s="164" t="e">
        <f t="shared" ref="AK50:AK56" si="12">AC50/AB50</f>
        <v>#REF!</v>
      </c>
      <c r="AL50" s="117" t="e">
        <f>AL51+AL52+#REF!+#REF!+#REF!+#REF!+#REF!+#REF!+#REF!+#REF!+#REF!</f>
        <v>#REF!</v>
      </c>
      <c r="AM50" s="117" t="e">
        <f>AM51+AM52+#REF!+#REF!+#REF!+#REF!+#REF!+#REF!+#REF!+#REF!+#REF!</f>
        <v>#REF!</v>
      </c>
      <c r="AN50" s="117" t="e">
        <f>AN51+AN52+#REF!+#REF!+#REF!+#REF!+#REF!+#REF!+#REF!+#REF!+#REF!</f>
        <v>#REF!</v>
      </c>
      <c r="AO50" s="117" t="e">
        <f>AO51+AO52+#REF!+#REF!+#REF!+#REF!+#REF!+#REF!+#REF!+#REF!+#REF!</f>
        <v>#REF!</v>
      </c>
      <c r="AP50" s="117" t="e">
        <f>AP51+AP52+#REF!+#REF!+#REF!+#REF!+#REF!+#REF!+#REF!+#REF!+#REF!</f>
        <v>#REF!</v>
      </c>
      <c r="AQ50" s="117" t="e">
        <f>AQ51+AQ52+#REF!+#REF!+#REF!+#REF!+#REF!+#REF!+#REF!+#REF!+#REF!</f>
        <v>#REF!</v>
      </c>
      <c r="AR50" s="117" t="e">
        <f>AR51+AR52+#REF!+#REF!+#REF!+#REF!+#REF!+#REF!+#REF!+#REF!+#REF!</f>
        <v>#REF!</v>
      </c>
      <c r="AS50" s="117" t="e">
        <f>AS51+AS52+#REF!+#REF!+#REF!+#REF!+#REF!+#REF!+#REF!+#REF!+#REF!</f>
        <v>#REF!</v>
      </c>
      <c r="AT50" s="117" t="e">
        <f>AT51+AT52+#REF!+#REF!+#REF!+#REF!</f>
        <v>#REF!</v>
      </c>
      <c r="AU50" s="117"/>
      <c r="AV50" s="162" t="e">
        <f t="shared" ref="AV50:AV56" si="13">AO50-AN50</f>
        <v>#REF!</v>
      </c>
      <c r="AW50" s="164" t="e">
        <f t="shared" ref="AW50:AW56" si="14">AO50/AN50</f>
        <v>#REF!</v>
      </c>
      <c r="AX50" s="117">
        <f>G50/2</f>
        <v>17345.445875000001</v>
      </c>
      <c r="AY50" s="117">
        <f>SUM(AY51,AY52,AY57,AY68,AY71,AY85,AY91)</f>
        <v>27089.339999999997</v>
      </c>
      <c r="AZ50" s="121" t="e">
        <f>AZ51+AZ52+#REF!+#REF!+#REF!+#REF!+#REF!+#REF!+#REF!+#REF!+#REF!</f>
        <v>#REF!</v>
      </c>
      <c r="BA50" s="122">
        <f>SUM(BA51,BA52,BA57,BA68,BA71,BA85,BA91)</f>
        <v>12782.680000000002</v>
      </c>
      <c r="BB50" s="122">
        <f t="shared" ref="BB50:BG50" si="15">SUM(BB51,BB52,BB57,BB68,BB71,BB85,BB91)</f>
        <v>63.75</v>
      </c>
      <c r="BC50" s="122">
        <f t="shared" si="15"/>
        <v>7392.13</v>
      </c>
      <c r="BD50" s="122">
        <f t="shared" si="15"/>
        <v>0</v>
      </c>
      <c r="BE50" s="123">
        <f>SUM(BE51,BE52,BE57,BE68,BE71,BE85,BE91)</f>
        <v>1916.3600000000001</v>
      </c>
      <c r="BF50" s="121">
        <f t="shared" si="15"/>
        <v>948.23811999999998</v>
      </c>
      <c r="BG50" s="122">
        <f t="shared" si="15"/>
        <v>934.58936000000006</v>
      </c>
      <c r="BH50" s="122"/>
      <c r="BI50" s="123"/>
      <c r="BJ50" s="288" t="e">
        <f t="shared" ref="BJ50:BJ74" si="16">BA50-AZ50</f>
        <v>#REF!</v>
      </c>
      <c r="BK50" s="445" t="e">
        <f t="shared" ref="BK50:BK56" si="17">BA50/AZ50</f>
        <v>#REF!</v>
      </c>
      <c r="BL50" s="408"/>
      <c r="BM50" s="343" t="e">
        <f>BM51+BM52+#REF!+#REF!+#REF!+#REF!+#REF!+#REF!+#REF!+#REF!+#REF!</f>
        <v>#REF!</v>
      </c>
      <c r="BN50" s="122"/>
      <c r="BO50" s="409"/>
      <c r="BP50" s="446"/>
      <c r="BQ50" s="343"/>
      <c r="BR50" s="344"/>
      <c r="BS50" s="447"/>
      <c r="BT50" s="448"/>
      <c r="BU50" s="343"/>
      <c r="BV50" s="344"/>
      <c r="BW50" s="447"/>
      <c r="BX50" s="411" t="e">
        <f>BX51+BX52+#REF!+#REF!+#REF!+#REF!+#REF!+#REF!+#REF!</f>
        <v>#REF!</v>
      </c>
      <c r="BY50" s="449">
        <f>F50</f>
        <v>34690.887090000004</v>
      </c>
      <c r="BZ50" s="162" t="e">
        <f>BZ51+BZ52+#REF!+#REF!+#REF!+#REF!+#REF!+#REF!+#REF!+#REF!+#REF!</f>
        <v>#REF!</v>
      </c>
      <c r="CA50" s="343" t="e">
        <f t="shared" ref="CA50:CA56" si="18">BZ50-BY50</f>
        <v>#REF!</v>
      </c>
      <c r="CB50" s="445" t="e">
        <f t="shared" ref="CB50:CB56" si="19">BZ50/BY50</f>
        <v>#REF!</v>
      </c>
      <c r="CC50" s="444" t="e">
        <f t="shared" si="8"/>
        <v>#REF!</v>
      </c>
      <c r="CD50" s="415" t="e">
        <f>CD51+CD52+#REF!+#REF!+#REF!+#REF!+#REF!+#REF!+#REF!+#REF!+#REF!</f>
        <v>#REF!</v>
      </c>
      <c r="CE50" s="122" t="e">
        <f>CE51+CE52+#REF!+#REF!+#REF!+#REF!+#REF!+#REF!+#REF!+#REF!+#REF!</f>
        <v>#REF!</v>
      </c>
      <c r="CF50" s="345" t="e">
        <f>CF51+CF52+#REF!+#REF!+#REF!+#REF!+#REF!+#REF!+#REF!+#REF!+#REF!</f>
        <v>#REF!</v>
      </c>
      <c r="CG50" s="450"/>
      <c r="CH50" s="450"/>
      <c r="CI50" s="450"/>
      <c r="CJ50" s="450"/>
      <c r="CK50" s="450"/>
      <c r="CL50" s="450"/>
      <c r="CM50" s="451"/>
      <c r="CN50" s="451"/>
      <c r="CO50" s="451"/>
      <c r="CP50" s="451"/>
      <c r="CQ50" s="451"/>
      <c r="CR50" s="451"/>
      <c r="CS50" s="451"/>
      <c r="CT50" s="451"/>
      <c r="CU50" s="451"/>
      <c r="CV50" s="451"/>
      <c r="CW50" s="451"/>
      <c r="CX50" s="451"/>
      <c r="CY50" s="451"/>
      <c r="CZ50" s="451"/>
      <c r="DA50" s="117" t="e">
        <f>SUM(DA51,DA52,DA57,DA68,DA71,DA85,DA91)</f>
        <v>#REF!</v>
      </c>
      <c r="DB50" s="117">
        <f>SUM(DB51,DB52,DB57,DB68,DB71,DB85,DB91)</f>
        <v>36141.921750000001</v>
      </c>
      <c r="DC50" s="117">
        <f>SUM(DC51,DC52,DC57,DC68,DC71,DC85,DC91)</f>
        <v>33896.924749999998</v>
      </c>
      <c r="DD50" s="117">
        <f>SUM(DD51,DD52,DD57,DD68,DD71,DD85,DD91)</f>
        <v>30058.201749999997</v>
      </c>
      <c r="DE50" s="117">
        <f>SUM(DE51,DE52,DE57,DE68,DE71,DE85,DE91)</f>
        <v>34045.70175</v>
      </c>
    </row>
    <row r="51" spans="1:110">
      <c r="A51" s="165" t="s">
        <v>251</v>
      </c>
      <c r="B51" s="166" t="s">
        <v>1</v>
      </c>
      <c r="C51" s="266" t="s">
        <v>54</v>
      </c>
      <c r="D51" s="168">
        <v>1543.26</v>
      </c>
      <c r="E51" s="168">
        <v>2467.7199999999998</v>
      </c>
      <c r="F51" s="168">
        <v>2467.7199999999998</v>
      </c>
      <c r="G51" s="168">
        <v>2467.7199999999998</v>
      </c>
      <c r="H51" s="169">
        <v>900</v>
      </c>
      <c r="I51" s="169">
        <v>614.20000000000005</v>
      </c>
      <c r="J51" s="169">
        <v>159.69</v>
      </c>
      <c r="K51" s="169">
        <v>454.51</v>
      </c>
      <c r="L51" s="169">
        <f>G51/12</f>
        <v>205.64333333333332</v>
      </c>
      <c r="M51" s="169">
        <v>129.75</v>
      </c>
      <c r="N51" s="169">
        <v>62.45</v>
      </c>
      <c r="O51" s="169">
        <v>84.34</v>
      </c>
      <c r="P51" s="169">
        <v>12.55</v>
      </c>
      <c r="Q51" s="169">
        <v>4.59</v>
      </c>
      <c r="R51" s="169">
        <v>51.18</v>
      </c>
      <c r="S51" s="169">
        <v>40.82</v>
      </c>
      <c r="T51" s="169">
        <f>K51/12</f>
        <v>37.875833333333333</v>
      </c>
      <c r="U51" s="169"/>
      <c r="V51" s="169">
        <v>0</v>
      </c>
      <c r="W51" s="169"/>
      <c r="X51" s="170">
        <f t="shared" si="9"/>
        <v>21.89</v>
      </c>
      <c r="Y51" s="171">
        <f t="shared" si="10"/>
        <v>1.3505204163330664</v>
      </c>
      <c r="Z51" s="169">
        <v>126.18</v>
      </c>
      <c r="AA51" s="169">
        <v>129.36000000000001</v>
      </c>
      <c r="AB51" s="169">
        <v>75</v>
      </c>
      <c r="AC51" s="169"/>
      <c r="AD51" s="169">
        <v>13.31</v>
      </c>
      <c r="AE51" s="169"/>
      <c r="AF51" s="169">
        <v>37.880000000000003</v>
      </c>
      <c r="AG51" s="169"/>
      <c r="AH51" s="169"/>
      <c r="AI51" s="169"/>
      <c r="AJ51" s="170">
        <f t="shared" si="11"/>
        <v>-75</v>
      </c>
      <c r="AK51" s="172">
        <f t="shared" si="12"/>
        <v>0</v>
      </c>
      <c r="AL51" s="169">
        <v>126.18</v>
      </c>
      <c r="AM51" s="169">
        <v>129.36000000000001</v>
      </c>
      <c r="AN51" s="169">
        <v>75</v>
      </c>
      <c r="AO51" s="169"/>
      <c r="AP51" s="169">
        <v>13.31</v>
      </c>
      <c r="AQ51" s="169"/>
      <c r="AR51" s="169">
        <v>37.880000000000003</v>
      </c>
      <c r="AS51" s="169"/>
      <c r="AT51" s="169"/>
      <c r="AU51" s="169"/>
      <c r="AV51" s="170">
        <f t="shared" si="13"/>
        <v>-75</v>
      </c>
      <c r="AW51" s="172">
        <f t="shared" si="14"/>
        <v>0</v>
      </c>
      <c r="AX51" s="173">
        <f>G51/2</f>
        <v>1233.8599999999999</v>
      </c>
      <c r="AY51" s="167">
        <v>2503.98</v>
      </c>
      <c r="AZ51" s="174"/>
      <c r="BA51" s="175">
        <v>614.52</v>
      </c>
      <c r="BB51" s="175"/>
      <c r="BC51" s="175">
        <v>741.24</v>
      </c>
      <c r="BD51" s="175"/>
      <c r="BE51" s="176">
        <v>187.5</v>
      </c>
      <c r="BF51" s="174">
        <v>106.75</v>
      </c>
      <c r="BG51" s="175">
        <v>84.24</v>
      </c>
      <c r="BH51" s="175"/>
      <c r="BI51" s="176"/>
      <c r="BJ51" s="417">
        <f t="shared" si="16"/>
        <v>614.52</v>
      </c>
      <c r="BK51" s="452" t="e">
        <f t="shared" si="17"/>
        <v>#DIV/0!</v>
      </c>
      <c r="BL51" s="453"/>
      <c r="BM51" s="454">
        <v>129.35598999999999</v>
      </c>
      <c r="BN51" s="239"/>
      <c r="BO51" s="455"/>
      <c r="BP51" s="456"/>
      <c r="BQ51" s="454"/>
      <c r="BR51" s="457"/>
      <c r="BS51" s="458"/>
      <c r="BT51" s="456"/>
      <c r="BU51" s="454"/>
      <c r="BV51" s="457"/>
      <c r="BW51" s="458"/>
      <c r="BX51" s="459">
        <v>1156.8499999999999</v>
      </c>
      <c r="BY51" s="460">
        <f>L51+BL51+BP51+BT51</f>
        <v>205.64333333333332</v>
      </c>
      <c r="BZ51" s="461">
        <f>M51+BM51+BQ51+BU51</f>
        <v>259.10599000000002</v>
      </c>
      <c r="CA51" s="454">
        <f t="shared" si="18"/>
        <v>53.462656666666703</v>
      </c>
      <c r="CB51" s="462">
        <f t="shared" si="19"/>
        <v>1.2599775825458319</v>
      </c>
      <c r="CC51" s="309">
        <f t="shared" si="8"/>
        <v>-2208.6140099999998</v>
      </c>
      <c r="CD51" s="463">
        <v>1632.32</v>
      </c>
      <c r="CE51" s="175"/>
      <c r="CF51" s="464"/>
      <c r="CG51" s="465"/>
      <c r="CH51" s="465"/>
      <c r="CI51" s="465"/>
      <c r="CJ51" s="465"/>
      <c r="CK51" s="465"/>
      <c r="CL51" s="465"/>
      <c r="CM51" s="466"/>
      <c r="CN51" s="466"/>
      <c r="CO51" s="466"/>
      <c r="CP51" s="466"/>
      <c r="CQ51" s="466"/>
      <c r="CR51" s="466"/>
      <c r="CS51" s="466"/>
      <c r="CT51" s="466"/>
      <c r="CU51" s="466"/>
      <c r="CV51" s="466"/>
      <c r="CW51" s="466"/>
      <c r="CX51" s="466"/>
      <c r="CY51" s="466"/>
      <c r="CZ51" s="466"/>
      <c r="DA51" s="167">
        <v>2467.7199999999998</v>
      </c>
      <c r="DB51" s="167">
        <v>2803</v>
      </c>
      <c r="DC51" s="168">
        <v>2803</v>
      </c>
      <c r="DD51" s="168">
        <v>2894.6</v>
      </c>
      <c r="DE51" s="168">
        <v>2943.15</v>
      </c>
      <c r="DF51" s="768"/>
    </row>
    <row r="52" spans="1:110">
      <c r="A52" s="177" t="s">
        <v>252</v>
      </c>
      <c r="B52" s="178" t="s">
        <v>2</v>
      </c>
      <c r="C52" s="97" t="s">
        <v>54</v>
      </c>
      <c r="D52" s="179">
        <f>SUM(D53,D56)</f>
        <v>8938.1215799999991</v>
      </c>
      <c r="E52" s="179">
        <f>SUM(E53,E56)</f>
        <v>8938.1215799999991</v>
      </c>
      <c r="F52" s="179">
        <f>SUM(F53,F56)</f>
        <v>10751.247089999999</v>
      </c>
      <c r="G52" s="179">
        <f>SUM(G53,G56)</f>
        <v>10992.11175</v>
      </c>
      <c r="H52" s="180">
        <f t="shared" ref="H52:M52" si="20">H53+H56</f>
        <v>4836.0599999999995</v>
      </c>
      <c r="I52" s="180">
        <f t="shared" si="20"/>
        <v>2391.0299999999997</v>
      </c>
      <c r="J52" s="180">
        <f t="shared" si="20"/>
        <v>621.66</v>
      </c>
      <c r="K52" s="180">
        <f t="shared" si="20"/>
        <v>1769.37</v>
      </c>
      <c r="L52" s="180">
        <f t="shared" si="20"/>
        <v>916.00931250000008</v>
      </c>
      <c r="M52" s="180">
        <f t="shared" si="20"/>
        <v>651.26080000000002</v>
      </c>
      <c r="N52" s="180">
        <v>335.59</v>
      </c>
      <c r="O52" s="180">
        <f>O53+O56</f>
        <v>376.44000000000005</v>
      </c>
      <c r="P52" s="180">
        <v>67.42</v>
      </c>
      <c r="Q52" s="180">
        <f>Q53+Q56</f>
        <v>104.59</v>
      </c>
      <c r="R52" s="180">
        <f>R53+R56</f>
        <v>199.25</v>
      </c>
      <c r="S52" s="180">
        <f>S53+S56</f>
        <v>156.82000000000002</v>
      </c>
      <c r="T52" s="180">
        <f>T53+T56</f>
        <v>147.44749999999999</v>
      </c>
      <c r="U52" s="180"/>
      <c r="V52" s="180">
        <f>V53+V56</f>
        <v>13.41</v>
      </c>
      <c r="W52" s="180"/>
      <c r="X52" s="181">
        <f t="shared" si="9"/>
        <v>40.85000000000008</v>
      </c>
      <c r="Y52" s="182">
        <f t="shared" si="10"/>
        <v>1.1217259155517152</v>
      </c>
      <c r="Z52" s="180">
        <f t="shared" ref="Z52:AH52" si="21">Z53+Z56</f>
        <v>602.26</v>
      </c>
      <c r="AA52" s="180">
        <f t="shared" si="21"/>
        <v>591.05651</v>
      </c>
      <c r="AB52" s="180">
        <f t="shared" si="21"/>
        <v>403.01</v>
      </c>
      <c r="AC52" s="180">
        <f t="shared" si="21"/>
        <v>0</v>
      </c>
      <c r="AD52" s="180">
        <f t="shared" si="21"/>
        <v>51.805199966660005</v>
      </c>
      <c r="AE52" s="180">
        <f t="shared" si="21"/>
        <v>0</v>
      </c>
      <c r="AF52" s="180">
        <f t="shared" si="21"/>
        <v>147.44999999999999</v>
      </c>
      <c r="AG52" s="180">
        <f t="shared" si="21"/>
        <v>0</v>
      </c>
      <c r="AH52" s="180">
        <f t="shared" si="21"/>
        <v>0</v>
      </c>
      <c r="AI52" s="180"/>
      <c r="AJ52" s="181">
        <f t="shared" si="11"/>
        <v>-403.01</v>
      </c>
      <c r="AK52" s="183">
        <f t="shared" si="12"/>
        <v>0</v>
      </c>
      <c r="AL52" s="180">
        <f t="shared" ref="AL52:AT52" si="22">AL53+AL56</f>
        <v>602.26</v>
      </c>
      <c r="AM52" s="180">
        <f t="shared" si="22"/>
        <v>591.05651</v>
      </c>
      <c r="AN52" s="180">
        <f t="shared" si="22"/>
        <v>403.01</v>
      </c>
      <c r="AO52" s="180">
        <f t="shared" si="22"/>
        <v>0</v>
      </c>
      <c r="AP52" s="180">
        <f t="shared" si="22"/>
        <v>51.805199966660005</v>
      </c>
      <c r="AQ52" s="180">
        <f t="shared" si="22"/>
        <v>0</v>
      </c>
      <c r="AR52" s="180">
        <f t="shared" si="22"/>
        <v>147.44999999999999</v>
      </c>
      <c r="AS52" s="180">
        <f t="shared" si="22"/>
        <v>0</v>
      </c>
      <c r="AT52" s="180">
        <f t="shared" si="22"/>
        <v>0</v>
      </c>
      <c r="AU52" s="180"/>
      <c r="AV52" s="181">
        <f t="shared" si="13"/>
        <v>-403.01</v>
      </c>
      <c r="AW52" s="183">
        <f t="shared" si="14"/>
        <v>0</v>
      </c>
      <c r="AX52" s="179">
        <f>G52/2</f>
        <v>5496.055875</v>
      </c>
      <c r="AY52" s="179">
        <f>AY53+AY56</f>
        <v>9186.85</v>
      </c>
      <c r="AZ52" s="184">
        <f>AZ53+AZ56</f>
        <v>0</v>
      </c>
      <c r="BA52" s="185">
        <f>BA53+BA56</f>
        <v>4139.67</v>
      </c>
      <c r="BB52" s="185">
        <f t="shared" ref="BB52:BG52" si="23">BB53+BB56</f>
        <v>0</v>
      </c>
      <c r="BC52" s="185">
        <f t="shared" si="23"/>
        <v>3261.87</v>
      </c>
      <c r="BD52" s="185">
        <f t="shared" si="23"/>
        <v>0</v>
      </c>
      <c r="BE52" s="186">
        <f t="shared" si="23"/>
        <v>1051.42</v>
      </c>
      <c r="BF52" s="184">
        <f>BF53+BF56</f>
        <v>288.76812000000001</v>
      </c>
      <c r="BG52" s="185">
        <f t="shared" si="23"/>
        <v>415.17936000000003</v>
      </c>
      <c r="BH52" s="185"/>
      <c r="BI52" s="186"/>
      <c r="BJ52" s="426">
        <f t="shared" si="16"/>
        <v>4139.67</v>
      </c>
      <c r="BK52" s="467" t="e">
        <f t="shared" si="17"/>
        <v>#DIV/0!</v>
      </c>
      <c r="BL52" s="468"/>
      <c r="BM52" s="469">
        <f>BM53+BM56</f>
        <v>589.58738999999991</v>
      </c>
      <c r="BN52" s="264"/>
      <c r="BO52" s="470"/>
      <c r="BP52" s="471"/>
      <c r="BQ52" s="469"/>
      <c r="BR52" s="472"/>
      <c r="BS52" s="473"/>
      <c r="BT52" s="471"/>
      <c r="BU52" s="469"/>
      <c r="BV52" s="472"/>
      <c r="BW52" s="473"/>
      <c r="BX52" s="474">
        <v>6457.72</v>
      </c>
      <c r="BY52" s="475">
        <f>F52</f>
        <v>10751.247089999999</v>
      </c>
      <c r="BZ52" s="320">
        <f>M52+BM52+BQ52+BU52</f>
        <v>1240.8481899999999</v>
      </c>
      <c r="CA52" s="469">
        <f t="shared" si="18"/>
        <v>-9510.3988999999983</v>
      </c>
      <c r="CB52" s="476">
        <f t="shared" si="19"/>
        <v>0.11541434957384093</v>
      </c>
      <c r="CC52" s="72">
        <f t="shared" si="8"/>
        <v>-7697.2733899999994</v>
      </c>
      <c r="CD52" s="477">
        <f>CD53+CD56</f>
        <v>474.63818999999995</v>
      </c>
      <c r="CE52" s="185">
        <f>CE53+CE56</f>
        <v>766.20999999999992</v>
      </c>
      <c r="CF52" s="478"/>
      <c r="CG52" s="465"/>
      <c r="CH52" s="465"/>
      <c r="CI52" s="465"/>
      <c r="CJ52" s="465"/>
      <c r="CK52" s="465"/>
      <c r="CL52" s="465"/>
      <c r="CM52" s="466"/>
      <c r="CN52" s="466"/>
      <c r="CO52" s="466"/>
      <c r="CP52" s="466"/>
      <c r="CQ52" s="466"/>
      <c r="CR52" s="466"/>
      <c r="CS52" s="466"/>
      <c r="CT52" s="466"/>
      <c r="CU52" s="466"/>
      <c r="CV52" s="466"/>
      <c r="CW52" s="466"/>
      <c r="CX52" s="466"/>
      <c r="CY52" s="466"/>
      <c r="CZ52" s="466"/>
      <c r="DA52" s="179">
        <f>DA53+DA56</f>
        <v>8938.1215799999991</v>
      </c>
      <c r="DB52" s="179">
        <f>DB53+DB56</f>
        <v>10992.11175</v>
      </c>
      <c r="DC52" s="179">
        <f>SUM(DC53,DC56)</f>
        <v>10992.11175</v>
      </c>
      <c r="DD52" s="179">
        <f>SUM(DD53,DD56)</f>
        <v>10992.11175</v>
      </c>
      <c r="DE52" s="179">
        <f>SUM(DE53,DE56)</f>
        <v>10992.11175</v>
      </c>
    </row>
    <row r="53" spans="1:110">
      <c r="A53" s="177"/>
      <c r="B53" s="187" t="s">
        <v>3</v>
      </c>
      <c r="C53" s="49" t="s">
        <v>54</v>
      </c>
      <c r="D53" s="31">
        <v>7429.86</v>
      </c>
      <c r="E53" s="31">
        <v>7429.86</v>
      </c>
      <c r="F53" s="31">
        <f>7429.86+1507.17</f>
        <v>8937.0299999999988</v>
      </c>
      <c r="G53" s="31">
        <v>9137.25</v>
      </c>
      <c r="H53" s="134">
        <v>4020</v>
      </c>
      <c r="I53" s="134">
        <v>1987.56</v>
      </c>
      <c r="J53" s="134">
        <v>516.76</v>
      </c>
      <c r="K53" s="134">
        <v>1470.8</v>
      </c>
      <c r="L53" s="134">
        <f>G53/12</f>
        <v>761.4375</v>
      </c>
      <c r="M53" s="134">
        <v>541.36392999999998</v>
      </c>
      <c r="N53" s="134">
        <v>278.95</v>
      </c>
      <c r="O53" s="134">
        <v>312.91000000000003</v>
      </c>
      <c r="P53" s="134">
        <v>56.05</v>
      </c>
      <c r="Q53" s="134">
        <v>86.94</v>
      </c>
      <c r="R53" s="134">
        <v>165.63</v>
      </c>
      <c r="S53" s="134">
        <v>130.36000000000001</v>
      </c>
      <c r="T53" s="134">
        <f>K53/12</f>
        <v>122.56666666666666</v>
      </c>
      <c r="U53" s="134"/>
      <c r="V53" s="134">
        <v>11.15</v>
      </c>
      <c r="W53" s="134"/>
      <c r="X53" s="51">
        <f t="shared" si="9"/>
        <v>33.960000000000036</v>
      </c>
      <c r="Y53" s="188">
        <f t="shared" si="10"/>
        <v>1.1217422477146444</v>
      </c>
      <c r="Z53" s="134">
        <v>500.63</v>
      </c>
      <c r="AA53" s="134">
        <v>491.62250999999998</v>
      </c>
      <c r="AB53" s="134">
        <v>335</v>
      </c>
      <c r="AC53" s="134"/>
      <c r="AD53" s="134">
        <v>43.063533300000003</v>
      </c>
      <c r="AE53" s="134"/>
      <c r="AF53" s="134">
        <v>122.57</v>
      </c>
      <c r="AG53" s="134"/>
      <c r="AH53" s="134"/>
      <c r="AI53" s="134"/>
      <c r="AJ53" s="51">
        <f t="shared" si="11"/>
        <v>-335</v>
      </c>
      <c r="AK53" s="189">
        <f t="shared" si="12"/>
        <v>0</v>
      </c>
      <c r="AL53" s="134">
        <v>500.63</v>
      </c>
      <c r="AM53" s="134">
        <v>491.62250999999998</v>
      </c>
      <c r="AN53" s="134">
        <v>335</v>
      </c>
      <c r="AO53" s="134"/>
      <c r="AP53" s="134">
        <v>43.063533300000003</v>
      </c>
      <c r="AQ53" s="134"/>
      <c r="AR53" s="134">
        <v>122.57</v>
      </c>
      <c r="AS53" s="134"/>
      <c r="AT53" s="134"/>
      <c r="AU53" s="134"/>
      <c r="AV53" s="51">
        <f t="shared" si="13"/>
        <v>-335</v>
      </c>
      <c r="AW53" s="189">
        <f t="shared" si="14"/>
        <v>0</v>
      </c>
      <c r="AX53" s="31">
        <f>G53/2</f>
        <v>4568.625</v>
      </c>
      <c r="AY53" s="31">
        <v>7636.61</v>
      </c>
      <c r="AZ53" s="109"/>
      <c r="BA53" s="62">
        <v>3440.71</v>
      </c>
      <c r="BB53" s="62"/>
      <c r="BC53" s="62">
        <v>2711.45</v>
      </c>
      <c r="BD53" s="62"/>
      <c r="BE53" s="110">
        <v>874</v>
      </c>
      <c r="BF53" s="109">
        <v>240.04</v>
      </c>
      <c r="BG53" s="62">
        <v>345.12</v>
      </c>
      <c r="BH53" s="62"/>
      <c r="BI53" s="110"/>
      <c r="BJ53" s="426">
        <f t="shared" si="16"/>
        <v>3440.71</v>
      </c>
      <c r="BK53" s="467" t="e">
        <f t="shared" si="17"/>
        <v>#DIV/0!</v>
      </c>
      <c r="BL53" s="428"/>
      <c r="BM53" s="61">
        <v>491.62250999999998</v>
      </c>
      <c r="BN53" s="62"/>
      <c r="BO53" s="429"/>
      <c r="BP53" s="64"/>
      <c r="BQ53" s="61"/>
      <c r="BR53" s="479"/>
      <c r="BS53" s="66"/>
      <c r="BT53" s="64"/>
      <c r="BU53" s="61"/>
      <c r="BV53" s="479"/>
      <c r="BW53" s="66"/>
      <c r="BX53" s="431"/>
      <c r="BY53" s="68">
        <f>L53+BL53+BP53+BT53</f>
        <v>761.4375</v>
      </c>
      <c r="BZ53" s="69">
        <f>M53+BM53+BQ53+BU53</f>
        <v>1032.9864399999999</v>
      </c>
      <c r="CA53" s="61">
        <f t="shared" si="18"/>
        <v>271.5489399999999</v>
      </c>
      <c r="CB53" s="71">
        <f t="shared" si="19"/>
        <v>1.3566266962160387</v>
      </c>
      <c r="CC53" s="72">
        <f t="shared" si="8"/>
        <v>-6396.87356</v>
      </c>
      <c r="CD53" s="434">
        <f>BZ53-CE53</f>
        <v>396.06643999999994</v>
      </c>
      <c r="CE53" s="62">
        <v>636.91999999999996</v>
      </c>
      <c r="CF53" s="73"/>
      <c r="CG53" s="74"/>
      <c r="CH53" s="74"/>
      <c r="CI53" s="74"/>
      <c r="CJ53" s="74"/>
      <c r="CK53" s="74"/>
      <c r="CL53" s="74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31">
        <v>7429.86</v>
      </c>
      <c r="DB53" s="31">
        <v>9137.25</v>
      </c>
      <c r="DC53" s="31">
        <v>9137.25</v>
      </c>
      <c r="DD53" s="31">
        <v>9137.25</v>
      </c>
      <c r="DE53" s="31">
        <v>9137.25</v>
      </c>
      <c r="DF53" s="768"/>
    </row>
    <row r="54" spans="1:110">
      <c r="A54" s="177"/>
      <c r="B54" s="190" t="s">
        <v>38</v>
      </c>
      <c r="C54" s="49" t="s">
        <v>82</v>
      </c>
      <c r="D54" s="31">
        <v>29.5</v>
      </c>
      <c r="E54" s="31">
        <v>29.5</v>
      </c>
      <c r="F54" s="31">
        <v>31.5</v>
      </c>
      <c r="G54" s="31">
        <v>31.5</v>
      </c>
      <c r="H54" s="134">
        <v>18</v>
      </c>
      <c r="I54" s="134">
        <v>9.5</v>
      </c>
      <c r="J54" s="134">
        <v>2.5</v>
      </c>
      <c r="K54" s="134">
        <v>7</v>
      </c>
      <c r="L54" s="134">
        <v>27.5</v>
      </c>
      <c r="M54" s="134">
        <v>24.5</v>
      </c>
      <c r="N54" s="134">
        <v>18</v>
      </c>
      <c r="O54" s="134">
        <v>3</v>
      </c>
      <c r="P54" s="134"/>
      <c r="Q54" s="134">
        <v>3</v>
      </c>
      <c r="R54" s="134">
        <v>2.5</v>
      </c>
      <c r="S54" s="134">
        <v>1</v>
      </c>
      <c r="T54" s="134">
        <v>7</v>
      </c>
      <c r="U54" s="134"/>
      <c r="V54" s="134"/>
      <c r="W54" s="134"/>
      <c r="X54" s="51">
        <f t="shared" si="9"/>
        <v>-15</v>
      </c>
      <c r="Y54" s="188">
        <f t="shared" si="10"/>
        <v>0.16666666666666666</v>
      </c>
      <c r="Z54" s="134">
        <v>27.5</v>
      </c>
      <c r="AA54" s="134">
        <v>23.5</v>
      </c>
      <c r="AB54" s="134">
        <v>18</v>
      </c>
      <c r="AC54" s="134"/>
      <c r="AD54" s="134">
        <v>2.5</v>
      </c>
      <c r="AE54" s="134"/>
      <c r="AF54" s="134">
        <v>7</v>
      </c>
      <c r="AG54" s="134"/>
      <c r="AH54" s="134"/>
      <c r="AI54" s="134"/>
      <c r="AJ54" s="51">
        <f t="shared" si="11"/>
        <v>-18</v>
      </c>
      <c r="AK54" s="189">
        <f t="shared" si="12"/>
        <v>0</v>
      </c>
      <c r="AL54" s="134">
        <v>27.5</v>
      </c>
      <c r="AM54" s="134">
        <v>23.5</v>
      </c>
      <c r="AN54" s="134">
        <v>18</v>
      </c>
      <c r="AO54" s="134"/>
      <c r="AP54" s="134">
        <v>2.5</v>
      </c>
      <c r="AQ54" s="134"/>
      <c r="AR54" s="134">
        <v>7</v>
      </c>
      <c r="AS54" s="134"/>
      <c r="AT54" s="134"/>
      <c r="AU54" s="134"/>
      <c r="AV54" s="51">
        <f t="shared" si="13"/>
        <v>-18</v>
      </c>
      <c r="AW54" s="189">
        <f t="shared" si="14"/>
        <v>0</v>
      </c>
      <c r="AX54" s="31">
        <v>27.5</v>
      </c>
      <c r="AY54" s="31">
        <v>29</v>
      </c>
      <c r="AZ54" s="109"/>
      <c r="BA54" s="62"/>
      <c r="BB54" s="62"/>
      <c r="BC54" s="62"/>
      <c r="BD54" s="62"/>
      <c r="BE54" s="110"/>
      <c r="BF54" s="109"/>
      <c r="BG54" s="62"/>
      <c r="BH54" s="62"/>
      <c r="BI54" s="110"/>
      <c r="BJ54" s="426">
        <f t="shared" si="16"/>
        <v>0</v>
      </c>
      <c r="BK54" s="467" t="e">
        <f t="shared" si="17"/>
        <v>#DIV/0!</v>
      </c>
      <c r="BL54" s="428"/>
      <c r="BM54" s="61">
        <v>23.5</v>
      </c>
      <c r="BN54" s="62"/>
      <c r="BO54" s="429"/>
      <c r="BP54" s="64"/>
      <c r="BQ54" s="61"/>
      <c r="BR54" s="479"/>
      <c r="BS54" s="66"/>
      <c r="BT54" s="64"/>
      <c r="BU54" s="61"/>
      <c r="BV54" s="479"/>
      <c r="BW54" s="66"/>
      <c r="BX54" s="480">
        <v>25</v>
      </c>
      <c r="BY54" s="68">
        <f>F54</f>
        <v>31.5</v>
      </c>
      <c r="BZ54" s="69">
        <f>(M54+BM54+BQ54+BU54)/4</f>
        <v>12</v>
      </c>
      <c r="CA54" s="61">
        <f t="shared" si="18"/>
        <v>-19.5</v>
      </c>
      <c r="CB54" s="71">
        <f t="shared" si="19"/>
        <v>0.38095238095238093</v>
      </c>
      <c r="CC54" s="72">
        <f t="shared" si="8"/>
        <v>-17.5</v>
      </c>
      <c r="CD54" s="434">
        <v>21</v>
      </c>
      <c r="CE54" s="62">
        <v>2.5</v>
      </c>
      <c r="CF54" s="73"/>
      <c r="CG54" s="74"/>
      <c r="CH54" s="74"/>
      <c r="CI54" s="74"/>
      <c r="CJ54" s="74"/>
      <c r="CK54" s="74"/>
      <c r="CL54" s="74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31">
        <v>29.5</v>
      </c>
      <c r="DB54" s="31">
        <v>31.5</v>
      </c>
      <c r="DC54" s="31">
        <v>31.5</v>
      </c>
      <c r="DD54" s="31">
        <v>31.5</v>
      </c>
      <c r="DE54" s="31">
        <v>31.5</v>
      </c>
    </row>
    <row r="55" spans="1:110">
      <c r="A55" s="177"/>
      <c r="B55" s="190" t="s">
        <v>39</v>
      </c>
      <c r="C55" s="49" t="s">
        <v>83</v>
      </c>
      <c r="D55" s="31">
        <f t="shared" ref="D55:K55" si="24">D53/D54/12*1000</f>
        <v>20988.30508474576</v>
      </c>
      <c r="E55" s="31">
        <f t="shared" si="24"/>
        <v>20988.30508474576</v>
      </c>
      <c r="F55" s="31">
        <f t="shared" si="24"/>
        <v>23642.936507936509</v>
      </c>
      <c r="G55" s="31">
        <f t="shared" si="24"/>
        <v>24172.619047619046</v>
      </c>
      <c r="H55" s="134">
        <f t="shared" si="24"/>
        <v>18611.111111111109</v>
      </c>
      <c r="I55" s="134">
        <f t="shared" si="24"/>
        <v>17434.736842105263</v>
      </c>
      <c r="J55" s="134">
        <f t="shared" si="24"/>
        <v>17225.333333333336</v>
      </c>
      <c r="K55" s="134">
        <f t="shared" si="24"/>
        <v>17509.523809523809</v>
      </c>
      <c r="L55" s="134">
        <f t="shared" ref="L55:U55" si="25">L53/L54*1000</f>
        <v>27688.636363636364</v>
      </c>
      <c r="M55" s="134">
        <f t="shared" si="25"/>
        <v>22096.48693877551</v>
      </c>
      <c r="N55" s="134">
        <f t="shared" si="25"/>
        <v>15497.222222222223</v>
      </c>
      <c r="O55" s="134">
        <f t="shared" si="25"/>
        <v>104303.33333333334</v>
      </c>
      <c r="P55" s="134"/>
      <c r="Q55" s="134">
        <f>Q53/Q54*1000</f>
        <v>28980</v>
      </c>
      <c r="R55" s="134">
        <f t="shared" si="25"/>
        <v>66252</v>
      </c>
      <c r="S55" s="134">
        <f t="shared" si="25"/>
        <v>130360.00000000001</v>
      </c>
      <c r="T55" s="134">
        <f t="shared" si="25"/>
        <v>17509.523809523809</v>
      </c>
      <c r="U55" s="134" t="e">
        <f t="shared" si="25"/>
        <v>#DIV/0!</v>
      </c>
      <c r="V55" s="134"/>
      <c r="W55" s="134"/>
      <c r="X55" s="51">
        <f t="shared" si="9"/>
        <v>88806.111111111124</v>
      </c>
      <c r="Y55" s="188">
        <f t="shared" si="10"/>
        <v>6.7304534862878658</v>
      </c>
      <c r="Z55" s="134">
        <f t="shared" ref="Z55:AG55" si="26">Z53/Z54*1000</f>
        <v>18204.727272727272</v>
      </c>
      <c r="AA55" s="134">
        <f t="shared" si="26"/>
        <v>20920.106808510638</v>
      </c>
      <c r="AB55" s="134">
        <f t="shared" si="26"/>
        <v>18611.111111111109</v>
      </c>
      <c r="AC55" s="134" t="e">
        <f t="shared" si="26"/>
        <v>#DIV/0!</v>
      </c>
      <c r="AD55" s="134">
        <f t="shared" si="26"/>
        <v>17225.41332</v>
      </c>
      <c r="AE55" s="134" t="e">
        <f t="shared" si="26"/>
        <v>#DIV/0!</v>
      </c>
      <c r="AF55" s="134">
        <f t="shared" si="26"/>
        <v>17509.999999999996</v>
      </c>
      <c r="AG55" s="134" t="e">
        <f t="shared" si="26"/>
        <v>#DIV/0!</v>
      </c>
      <c r="AH55" s="134"/>
      <c r="AI55" s="134"/>
      <c r="AJ55" s="51" t="e">
        <f t="shared" si="11"/>
        <v>#DIV/0!</v>
      </c>
      <c r="AK55" s="189" t="e">
        <f t="shared" si="12"/>
        <v>#DIV/0!</v>
      </c>
      <c r="AL55" s="134">
        <f t="shared" ref="AL55:AS55" si="27">AL53/AL54*1000</f>
        <v>18204.727272727272</v>
      </c>
      <c r="AM55" s="134">
        <f t="shared" si="27"/>
        <v>20920.106808510638</v>
      </c>
      <c r="AN55" s="134">
        <f t="shared" si="27"/>
        <v>18611.111111111109</v>
      </c>
      <c r="AO55" s="134" t="e">
        <f t="shared" si="27"/>
        <v>#DIV/0!</v>
      </c>
      <c r="AP55" s="134">
        <f t="shared" si="27"/>
        <v>17225.41332</v>
      </c>
      <c r="AQ55" s="134" t="e">
        <f t="shared" si="27"/>
        <v>#DIV/0!</v>
      </c>
      <c r="AR55" s="134">
        <f t="shared" si="27"/>
        <v>17509.999999999996</v>
      </c>
      <c r="AS55" s="134" t="e">
        <f t="shared" si="27"/>
        <v>#DIV/0!</v>
      </c>
      <c r="AT55" s="134"/>
      <c r="AU55" s="134"/>
      <c r="AV55" s="51" t="e">
        <f t="shared" si="13"/>
        <v>#DIV/0!</v>
      </c>
      <c r="AW55" s="189" t="e">
        <f t="shared" si="14"/>
        <v>#DIV/0!</v>
      </c>
      <c r="AX55" s="31">
        <f>AX53/AX54/6*1000</f>
        <v>27688.636363636364</v>
      </c>
      <c r="AY55" s="31">
        <f>AY53/AY54/12*1000</f>
        <v>21944.281609195401</v>
      </c>
      <c r="AZ55" s="109" t="e">
        <f>AZ53/AZ54/3*1000</f>
        <v>#DIV/0!</v>
      </c>
      <c r="BA55" s="62"/>
      <c r="BB55" s="62"/>
      <c r="BC55" s="62"/>
      <c r="BD55" s="62"/>
      <c r="BE55" s="110"/>
      <c r="BF55" s="109"/>
      <c r="BG55" s="62"/>
      <c r="BH55" s="62"/>
      <c r="BI55" s="110"/>
      <c r="BJ55" s="426" t="e">
        <f t="shared" si="16"/>
        <v>#DIV/0!</v>
      </c>
      <c r="BK55" s="467" t="e">
        <f t="shared" si="17"/>
        <v>#DIV/0!</v>
      </c>
      <c r="BL55" s="428"/>
      <c r="BM55" s="61">
        <f>BM53/BM54*1000</f>
        <v>20920.106808510638</v>
      </c>
      <c r="BN55" s="62"/>
      <c r="BO55" s="429"/>
      <c r="BP55" s="64"/>
      <c r="BQ55" s="61"/>
      <c r="BR55" s="479"/>
      <c r="BS55" s="66"/>
      <c r="BT55" s="64"/>
      <c r="BU55" s="61"/>
      <c r="BV55" s="479"/>
      <c r="BW55" s="66"/>
      <c r="BX55" s="431">
        <v>19642.13</v>
      </c>
      <c r="BY55" s="68">
        <f>F55</f>
        <v>23642.936507936509</v>
      </c>
      <c r="BZ55" s="69">
        <f>(M55+BM55+BQ55+BU55)/4</f>
        <v>10754.148436821537</v>
      </c>
      <c r="CA55" s="61">
        <f t="shared" si="18"/>
        <v>-12888.788071114972</v>
      </c>
      <c r="CB55" s="71">
        <f t="shared" si="19"/>
        <v>0.45485671516359916</v>
      </c>
      <c r="CC55" s="72">
        <f t="shared" si="8"/>
        <v>-10234.156647924223</v>
      </c>
      <c r="CD55" s="434">
        <f>CD53/CD54/12*1000</f>
        <v>1571.6922222222217</v>
      </c>
      <c r="CE55" s="62">
        <f>CE53/CE54/12*1000</f>
        <v>21230.666666666664</v>
      </c>
      <c r="CF55" s="73"/>
      <c r="CG55" s="74"/>
      <c r="CH55" s="74"/>
      <c r="CI55" s="74"/>
      <c r="CJ55" s="74"/>
      <c r="CK55" s="74"/>
      <c r="CL55" s="74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31">
        <f>DA53/DA54/12*1000</f>
        <v>20988.30508474576</v>
      </c>
      <c r="DB55" s="31">
        <f>DB53/DB54/12*1000</f>
        <v>24172.619047619046</v>
      </c>
      <c r="DC55" s="31">
        <f>DC53/DC54/12*1000</f>
        <v>24172.619047619046</v>
      </c>
      <c r="DD55" s="31">
        <f>DD53/DD54/12*1000</f>
        <v>24172.619047619046</v>
      </c>
      <c r="DE55" s="31">
        <f>DE53/DE54/12*1000</f>
        <v>24172.619047619046</v>
      </c>
    </row>
    <row r="56" spans="1:110" ht="12" customHeight="1">
      <c r="A56" s="177"/>
      <c r="B56" s="187" t="s">
        <v>92</v>
      </c>
      <c r="C56" s="49" t="s">
        <v>54</v>
      </c>
      <c r="D56" s="31">
        <f>D53*20.3/100</f>
        <v>1508.2615799999999</v>
      </c>
      <c r="E56" s="31">
        <f>E53*20.3/100</f>
        <v>1508.2615799999999</v>
      </c>
      <c r="F56" s="31">
        <f>F53*20.3/100</f>
        <v>1814.2170899999996</v>
      </c>
      <c r="G56" s="31">
        <f>G53*20.3/100</f>
        <v>1854.8617500000003</v>
      </c>
      <c r="H56" s="134">
        <v>816.06</v>
      </c>
      <c r="I56" s="134">
        <v>403.47</v>
      </c>
      <c r="J56" s="134">
        <v>104.9</v>
      </c>
      <c r="K56" s="134">
        <v>298.57</v>
      </c>
      <c r="L56" s="134">
        <f>G56/12</f>
        <v>154.57181250000002</v>
      </c>
      <c r="M56" s="134">
        <v>109.89687000000001</v>
      </c>
      <c r="N56" s="134">
        <v>56.63</v>
      </c>
      <c r="O56" s="134">
        <v>63.53</v>
      </c>
      <c r="P56" s="134">
        <v>11.38</v>
      </c>
      <c r="Q56" s="134">
        <v>17.649999999999999</v>
      </c>
      <c r="R56" s="134">
        <v>33.619999999999997</v>
      </c>
      <c r="S56" s="134">
        <v>26.46</v>
      </c>
      <c r="T56" s="134">
        <f>K56/12</f>
        <v>24.880833333333332</v>
      </c>
      <c r="U56" s="134"/>
      <c r="V56" s="134">
        <v>2.2599999999999998</v>
      </c>
      <c r="W56" s="134"/>
      <c r="X56" s="51">
        <f t="shared" si="9"/>
        <v>6.8999999999999986</v>
      </c>
      <c r="Y56" s="188">
        <f t="shared" si="10"/>
        <v>1.1218435458237683</v>
      </c>
      <c r="Z56" s="134">
        <v>101.63</v>
      </c>
      <c r="AA56" s="134">
        <v>99.433999999999997</v>
      </c>
      <c r="AB56" s="134">
        <v>68.010000000000005</v>
      </c>
      <c r="AC56" s="134"/>
      <c r="AD56" s="134">
        <v>8.7416666666600005</v>
      </c>
      <c r="AE56" s="134"/>
      <c r="AF56" s="134">
        <v>24.88</v>
      </c>
      <c r="AG56" s="134"/>
      <c r="AH56" s="134"/>
      <c r="AI56" s="134"/>
      <c r="AJ56" s="51">
        <f t="shared" si="11"/>
        <v>-68.010000000000005</v>
      </c>
      <c r="AK56" s="189">
        <f t="shared" si="12"/>
        <v>0</v>
      </c>
      <c r="AL56" s="134">
        <v>101.63</v>
      </c>
      <c r="AM56" s="134">
        <v>99.433999999999997</v>
      </c>
      <c r="AN56" s="134">
        <v>68.010000000000005</v>
      </c>
      <c r="AO56" s="134"/>
      <c r="AP56" s="134">
        <v>8.7416666666600005</v>
      </c>
      <c r="AQ56" s="134"/>
      <c r="AR56" s="134">
        <v>24.88</v>
      </c>
      <c r="AS56" s="134"/>
      <c r="AT56" s="134"/>
      <c r="AU56" s="134"/>
      <c r="AV56" s="51">
        <f t="shared" si="13"/>
        <v>-68.010000000000005</v>
      </c>
      <c r="AW56" s="189">
        <f t="shared" si="14"/>
        <v>0</v>
      </c>
      <c r="AX56" s="31">
        <f>G56/2</f>
        <v>927.43087500000013</v>
      </c>
      <c r="AY56" s="31">
        <v>1550.24</v>
      </c>
      <c r="AZ56" s="109"/>
      <c r="BA56" s="62">
        <v>698.96</v>
      </c>
      <c r="BB56" s="62">
        <f t="shared" ref="BB56:BG56" si="28">BB53*20.3/100</f>
        <v>0</v>
      </c>
      <c r="BC56" s="62">
        <v>550.41999999999996</v>
      </c>
      <c r="BD56" s="62">
        <f t="shared" si="28"/>
        <v>0</v>
      </c>
      <c r="BE56" s="110">
        <v>177.42</v>
      </c>
      <c r="BF56" s="109">
        <f t="shared" si="28"/>
        <v>48.728119999999997</v>
      </c>
      <c r="BG56" s="62">
        <f t="shared" si="28"/>
        <v>70.059360000000012</v>
      </c>
      <c r="BH56" s="62"/>
      <c r="BI56" s="110"/>
      <c r="BJ56" s="426">
        <f t="shared" si="16"/>
        <v>698.96</v>
      </c>
      <c r="BK56" s="467" t="e">
        <f t="shared" si="17"/>
        <v>#DIV/0!</v>
      </c>
      <c r="BL56" s="428"/>
      <c r="BM56" s="61">
        <v>97.964879999999994</v>
      </c>
      <c r="BN56" s="62"/>
      <c r="BO56" s="429"/>
      <c r="BP56" s="64"/>
      <c r="BQ56" s="61"/>
      <c r="BR56" s="479"/>
      <c r="BS56" s="66"/>
      <c r="BT56" s="64"/>
      <c r="BU56" s="61"/>
      <c r="BV56" s="479"/>
      <c r="BW56" s="66"/>
      <c r="BX56" s="431"/>
      <c r="BY56" s="68">
        <f>F56</f>
        <v>1814.2170899999996</v>
      </c>
      <c r="BZ56" s="69">
        <f>M56+BM56+BQ56+BU56</f>
        <v>207.86175</v>
      </c>
      <c r="CA56" s="61">
        <f t="shared" si="18"/>
        <v>-1606.3553399999996</v>
      </c>
      <c r="CB56" s="71">
        <f t="shared" si="19"/>
        <v>0.11457380219034319</v>
      </c>
      <c r="CC56" s="72">
        <f t="shared" si="8"/>
        <v>-1300.3998299999998</v>
      </c>
      <c r="CD56" s="434">
        <f>BZ56-CE56</f>
        <v>78.571750000000009</v>
      </c>
      <c r="CE56" s="62">
        <v>129.29</v>
      </c>
      <c r="CF56" s="73"/>
      <c r="CG56" s="74"/>
      <c r="CH56" s="74"/>
      <c r="CI56" s="74"/>
      <c r="CJ56" s="74"/>
      <c r="CK56" s="74"/>
      <c r="CL56" s="74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31">
        <f>DA53*20.3/100</f>
        <v>1508.2615799999999</v>
      </c>
      <c r="DB56" s="31">
        <f>DB53*20.3/100</f>
        <v>1854.8617500000003</v>
      </c>
      <c r="DC56" s="31">
        <f>DC53*20.3/100</f>
        <v>1854.8617500000003</v>
      </c>
      <c r="DD56" s="31">
        <f>DD53*20.3/100</f>
        <v>1854.8617500000003</v>
      </c>
      <c r="DE56" s="31">
        <f>DE53*20.3/100</f>
        <v>1854.8617500000003</v>
      </c>
    </row>
    <row r="57" spans="1:110" ht="24" customHeight="1">
      <c r="A57" s="177" t="s">
        <v>253</v>
      </c>
      <c r="B57" s="178" t="s">
        <v>12</v>
      </c>
      <c r="C57" s="266" t="s">
        <v>54</v>
      </c>
      <c r="D57" s="179">
        <f>SUM(D58:D67)</f>
        <v>1350.56</v>
      </c>
      <c r="E57" s="179">
        <v>1847.57</v>
      </c>
      <c r="F57" s="179">
        <f>SUM(F58:F67)</f>
        <v>1847.57</v>
      </c>
      <c r="G57" s="179">
        <v>1847.57</v>
      </c>
      <c r="H57" s="180">
        <f>SUM(H58:H67)</f>
        <v>118.33</v>
      </c>
      <c r="I57" s="180">
        <f>SUM(I58:I67)</f>
        <v>0</v>
      </c>
      <c r="J57" s="180">
        <f>SUM(J58:J67)</f>
        <v>0</v>
      </c>
      <c r="K57" s="180">
        <f>SUM(K58:K67)</f>
        <v>0</v>
      </c>
      <c r="L57" s="180">
        <f>G57/12</f>
        <v>153.96416666666667</v>
      </c>
      <c r="M57" s="180">
        <f>SUM(M58:M67)</f>
        <v>5.5</v>
      </c>
      <c r="N57" s="180">
        <v>34.83</v>
      </c>
      <c r="O57" s="180">
        <v>44.24</v>
      </c>
      <c r="P57" s="180">
        <v>7</v>
      </c>
      <c r="Q57" s="180">
        <v>0</v>
      </c>
      <c r="R57" s="180">
        <v>44.5</v>
      </c>
      <c r="S57" s="180">
        <v>22.12</v>
      </c>
      <c r="T57" s="180">
        <f>SUM(T58:T67)</f>
        <v>0</v>
      </c>
      <c r="U57" s="180">
        <f>SUM(U58:U67)</f>
        <v>0</v>
      </c>
      <c r="V57" s="180">
        <v>0</v>
      </c>
      <c r="W57" s="180"/>
      <c r="X57" s="181">
        <f>O57-N57</f>
        <v>9.4100000000000037</v>
      </c>
      <c r="Y57" s="191">
        <f>O57/N57</f>
        <v>1.270169394200402</v>
      </c>
      <c r="Z57" s="180">
        <f t="shared" ref="Z57:AH57" si="29">SUM(Z58:Z67)</f>
        <v>9.86</v>
      </c>
      <c r="AA57" s="180">
        <f t="shared" si="29"/>
        <v>17.5</v>
      </c>
      <c r="AB57" s="180">
        <f t="shared" si="29"/>
        <v>9.86</v>
      </c>
      <c r="AC57" s="180">
        <f t="shared" si="29"/>
        <v>0</v>
      </c>
      <c r="AD57" s="180">
        <f t="shared" si="29"/>
        <v>0</v>
      </c>
      <c r="AE57" s="180">
        <f t="shared" si="29"/>
        <v>0</v>
      </c>
      <c r="AF57" s="180">
        <f t="shared" si="29"/>
        <v>0</v>
      </c>
      <c r="AG57" s="180">
        <f t="shared" si="29"/>
        <v>0</v>
      </c>
      <c r="AH57" s="180">
        <f t="shared" si="29"/>
        <v>0</v>
      </c>
      <c r="AI57" s="180"/>
      <c r="AJ57" s="181">
        <f>AC57-AB57</f>
        <v>-9.86</v>
      </c>
      <c r="AK57" s="192">
        <f>AC57/AB57</f>
        <v>0</v>
      </c>
      <c r="AL57" s="180">
        <f t="shared" ref="AL57:AT57" si="30">SUM(AL58:AL67)</f>
        <v>9.86</v>
      </c>
      <c r="AM57" s="180">
        <f t="shared" si="30"/>
        <v>17.5</v>
      </c>
      <c r="AN57" s="180">
        <f t="shared" si="30"/>
        <v>9.86</v>
      </c>
      <c r="AO57" s="180">
        <f t="shared" si="30"/>
        <v>0</v>
      </c>
      <c r="AP57" s="180">
        <f t="shared" si="30"/>
        <v>0</v>
      </c>
      <c r="AQ57" s="180">
        <f t="shared" si="30"/>
        <v>0</v>
      </c>
      <c r="AR57" s="180">
        <f t="shared" si="30"/>
        <v>0</v>
      </c>
      <c r="AS57" s="180">
        <f t="shared" si="30"/>
        <v>0</v>
      </c>
      <c r="AT57" s="180">
        <f t="shared" si="30"/>
        <v>0</v>
      </c>
      <c r="AU57" s="180"/>
      <c r="AV57" s="181">
        <f>AO57-AN57</f>
        <v>-9.86</v>
      </c>
      <c r="AW57" s="192">
        <f>AO57/AN57</f>
        <v>0</v>
      </c>
      <c r="AX57" s="179">
        <f>G57/2</f>
        <v>923.78499999999997</v>
      </c>
      <c r="AY57" s="179">
        <f>SUM(AY58:AY67)</f>
        <v>1193.78</v>
      </c>
      <c r="AZ57" s="184">
        <f>SUM(AZ58:AZ67)</f>
        <v>0</v>
      </c>
      <c r="BA57" s="185">
        <f>SUM(BA58:BA67)</f>
        <v>1006.25</v>
      </c>
      <c r="BB57" s="185">
        <f t="shared" ref="BB57:BG57" si="31">SUM(BB58:BB67)</f>
        <v>0</v>
      </c>
      <c r="BC57" s="185">
        <f t="shared" si="31"/>
        <v>470.48</v>
      </c>
      <c r="BD57" s="185">
        <f t="shared" si="31"/>
        <v>0</v>
      </c>
      <c r="BE57" s="186">
        <f t="shared" si="31"/>
        <v>0</v>
      </c>
      <c r="BF57" s="184">
        <f t="shared" si="31"/>
        <v>110.56999999999998</v>
      </c>
      <c r="BG57" s="185">
        <f t="shared" si="31"/>
        <v>108.83000000000001</v>
      </c>
      <c r="BH57" s="185"/>
      <c r="BI57" s="186"/>
      <c r="BJ57" s="426">
        <f t="shared" si="16"/>
        <v>1006.25</v>
      </c>
      <c r="BK57" s="481" t="e">
        <f>BA57/AZ57</f>
        <v>#DIV/0!</v>
      </c>
      <c r="BL57" s="468"/>
      <c r="BM57" s="469">
        <f>SUM(BM58:BM67)</f>
        <v>17.5</v>
      </c>
      <c r="BN57" s="264"/>
      <c r="BO57" s="470"/>
      <c r="BP57" s="471"/>
      <c r="BQ57" s="469"/>
      <c r="BR57" s="472"/>
      <c r="BS57" s="473"/>
      <c r="BT57" s="471"/>
      <c r="BU57" s="469"/>
      <c r="BV57" s="472"/>
      <c r="BW57" s="473"/>
      <c r="BX57" s="474">
        <v>748.07</v>
      </c>
      <c r="BY57" s="475">
        <f>F57</f>
        <v>1847.57</v>
      </c>
      <c r="BZ57" s="320">
        <f>M57+BM57+BQ57+BU57</f>
        <v>23</v>
      </c>
      <c r="CA57" s="469">
        <f>BZ57-BY57</f>
        <v>-1824.57</v>
      </c>
      <c r="CB57" s="476">
        <f>BZ57/BY57</f>
        <v>1.2448784078546415E-2</v>
      </c>
      <c r="CC57" s="307">
        <f t="shared" si="8"/>
        <v>-1824.57</v>
      </c>
      <c r="CD57" s="477">
        <f>SUM(CD58:CD67)</f>
        <v>125.5</v>
      </c>
      <c r="CE57" s="185">
        <f>SUM(CE58:CE67)</f>
        <v>0</v>
      </c>
      <c r="CF57" s="478"/>
      <c r="CG57" s="465"/>
      <c r="CH57" s="465"/>
      <c r="CI57" s="465"/>
      <c r="CJ57" s="465"/>
      <c r="CK57" s="465"/>
      <c r="CL57" s="465"/>
      <c r="CM57" s="466"/>
      <c r="CN57" s="466"/>
      <c r="CO57" s="466"/>
      <c r="CP57" s="466"/>
      <c r="CQ57" s="466"/>
      <c r="CR57" s="466"/>
      <c r="CS57" s="466"/>
      <c r="CT57" s="466"/>
      <c r="CU57" s="466"/>
      <c r="CV57" s="466"/>
      <c r="CW57" s="466"/>
      <c r="CX57" s="466"/>
      <c r="CY57" s="466"/>
      <c r="CZ57" s="466"/>
      <c r="DA57" s="179">
        <f>SUM(DA58:DA67)</f>
        <v>1847.57</v>
      </c>
      <c r="DB57" s="179">
        <f>SUM(DB58:DB67)</f>
        <v>1847.57</v>
      </c>
      <c r="DC57" s="179">
        <f>SUM(DC58:DC67)</f>
        <v>1847.57</v>
      </c>
      <c r="DD57" s="179">
        <f>SUM(DD58:DD67)</f>
        <v>1354.41</v>
      </c>
      <c r="DE57" s="179">
        <f>SUM(DE58:DE67)</f>
        <v>1847.57</v>
      </c>
    </row>
    <row r="58" spans="1:110" hidden="1">
      <c r="A58" s="47"/>
      <c r="B58" s="187" t="s">
        <v>176</v>
      </c>
      <c r="C58" s="97" t="s">
        <v>54</v>
      </c>
      <c r="D58" s="31">
        <v>201.05</v>
      </c>
      <c r="E58" s="31">
        <v>264.91000000000003</v>
      </c>
      <c r="F58" s="31">
        <v>264.91000000000003</v>
      </c>
      <c r="G58" s="31">
        <v>264.91000000000003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54"/>
      <c r="Y58" s="55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54"/>
      <c r="AK58" s="56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54"/>
      <c r="AW58" s="56"/>
      <c r="AX58" s="31"/>
      <c r="AY58" s="31">
        <v>437.43</v>
      </c>
      <c r="AZ58" s="109"/>
      <c r="BA58" s="62">
        <v>119.61</v>
      </c>
      <c r="BB58" s="62"/>
      <c r="BC58" s="62">
        <v>188.94</v>
      </c>
      <c r="BD58" s="62"/>
      <c r="BE58" s="110"/>
      <c r="BF58" s="109">
        <f>21.06+63.65-20+14.52</f>
        <v>79.22999999999999</v>
      </c>
      <c r="BG58" s="62">
        <f>93.33-12.13</f>
        <v>81.2</v>
      </c>
      <c r="BH58" s="62"/>
      <c r="BI58" s="110"/>
      <c r="BJ58" s="59"/>
      <c r="BK58" s="46"/>
      <c r="BL58" s="428"/>
      <c r="BM58" s="61"/>
      <c r="BN58" s="62"/>
      <c r="BO58" s="63"/>
      <c r="BP58" s="64"/>
      <c r="BQ58" s="61"/>
      <c r="BR58" s="65"/>
      <c r="BS58" s="66"/>
      <c r="BT58" s="64"/>
      <c r="BU58" s="61"/>
      <c r="BV58" s="65"/>
      <c r="BW58" s="66"/>
      <c r="BX58" s="431"/>
      <c r="BY58" s="68">
        <f>F58</f>
        <v>264.91000000000003</v>
      </c>
      <c r="BZ58" s="69"/>
      <c r="CA58" s="70"/>
      <c r="CB58" s="71"/>
      <c r="CC58" s="72"/>
      <c r="CD58" s="434"/>
      <c r="CE58" s="62"/>
      <c r="CF58" s="73"/>
      <c r="CG58" s="74"/>
      <c r="CH58" s="74"/>
      <c r="CI58" s="74"/>
      <c r="CJ58" s="74"/>
      <c r="CK58" s="74"/>
      <c r="CL58" s="74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31">
        <v>264.91000000000003</v>
      </c>
      <c r="DB58" s="31">
        <v>264.91000000000003</v>
      </c>
      <c r="DC58" s="31">
        <f>264.91-6-17.85</f>
        <v>241.06000000000003</v>
      </c>
      <c r="DD58" s="31">
        <f>264.91-6-17.85</f>
        <v>241.06000000000003</v>
      </c>
      <c r="DE58" s="31">
        <f>264.91-6-17.85</f>
        <v>241.06000000000003</v>
      </c>
    </row>
    <row r="59" spans="1:110" ht="24" hidden="1">
      <c r="A59" s="47"/>
      <c r="B59" s="187" t="s">
        <v>275</v>
      </c>
      <c r="C59" s="97" t="s">
        <v>54</v>
      </c>
      <c r="D59" s="31">
        <v>685.51</v>
      </c>
      <c r="E59" s="31">
        <v>607.58000000000004</v>
      </c>
      <c r="F59" s="31">
        <v>607.58000000000004</v>
      </c>
      <c r="G59" s="31">
        <v>607.58000000000004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51"/>
      <c r="Y59" s="55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51"/>
      <c r="AK59" s="56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51"/>
      <c r="AW59" s="56"/>
      <c r="AX59" s="31"/>
      <c r="AY59" s="31">
        <v>591</v>
      </c>
      <c r="AZ59" s="109"/>
      <c r="BA59" s="62">
        <v>381.73</v>
      </c>
      <c r="BB59" s="62"/>
      <c r="BC59" s="62">
        <v>246.3</v>
      </c>
      <c r="BD59" s="62"/>
      <c r="BE59" s="110"/>
      <c r="BF59" s="109">
        <v>29.04</v>
      </c>
      <c r="BG59" s="62"/>
      <c r="BH59" s="62"/>
      <c r="BI59" s="110"/>
      <c r="BJ59" s="59"/>
      <c r="BK59" s="46"/>
      <c r="BL59" s="428"/>
      <c r="BM59" s="61"/>
      <c r="BN59" s="62"/>
      <c r="BO59" s="63"/>
      <c r="BP59" s="64"/>
      <c r="BQ59" s="61"/>
      <c r="BR59" s="65"/>
      <c r="BS59" s="66"/>
      <c r="BT59" s="64"/>
      <c r="BU59" s="61"/>
      <c r="BV59" s="65"/>
      <c r="BW59" s="66"/>
      <c r="BX59" s="431"/>
      <c r="BY59" s="68"/>
      <c r="BZ59" s="69"/>
      <c r="CA59" s="70"/>
      <c r="CB59" s="71"/>
      <c r="CC59" s="72"/>
      <c r="CD59" s="434"/>
      <c r="CE59" s="62"/>
      <c r="CF59" s="73"/>
      <c r="CG59" s="74"/>
      <c r="CH59" s="74"/>
      <c r="CI59" s="74"/>
      <c r="CJ59" s="74"/>
      <c r="CK59" s="74"/>
      <c r="CL59" s="74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31">
        <v>607.58000000000004</v>
      </c>
      <c r="DB59" s="31">
        <v>607.58000000000004</v>
      </c>
      <c r="DC59" s="31">
        <v>607.58000000000004</v>
      </c>
      <c r="DD59" s="31">
        <v>596.4</v>
      </c>
      <c r="DE59" s="31">
        <v>607.58000000000004</v>
      </c>
    </row>
    <row r="60" spans="1:110" hidden="1">
      <c r="A60" s="47"/>
      <c r="B60" s="187" t="s">
        <v>305</v>
      </c>
      <c r="C60" s="97" t="s">
        <v>54</v>
      </c>
      <c r="D60" s="31"/>
      <c r="E60" s="31"/>
      <c r="F60" s="31"/>
      <c r="G60" s="31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51"/>
      <c r="Y60" s="55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51"/>
      <c r="AK60" s="56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51"/>
      <c r="AW60" s="56"/>
      <c r="AX60" s="31"/>
      <c r="AY60" s="31">
        <v>6</v>
      </c>
      <c r="AZ60" s="109"/>
      <c r="BA60" s="62"/>
      <c r="BB60" s="62"/>
      <c r="BC60" s="62"/>
      <c r="BD60" s="62"/>
      <c r="BE60" s="110"/>
      <c r="BF60" s="109"/>
      <c r="BG60" s="62"/>
      <c r="BH60" s="62"/>
      <c r="BI60" s="110"/>
      <c r="BJ60" s="59"/>
      <c r="BK60" s="46"/>
      <c r="BL60" s="428"/>
      <c r="BM60" s="61"/>
      <c r="BN60" s="62"/>
      <c r="BO60" s="63"/>
      <c r="BP60" s="64"/>
      <c r="BQ60" s="61"/>
      <c r="BR60" s="65"/>
      <c r="BS60" s="66"/>
      <c r="BT60" s="64"/>
      <c r="BU60" s="61"/>
      <c r="BV60" s="65"/>
      <c r="BW60" s="66"/>
      <c r="BX60" s="431"/>
      <c r="BY60" s="68"/>
      <c r="BZ60" s="69"/>
      <c r="CA60" s="70"/>
      <c r="CB60" s="71"/>
      <c r="CC60" s="72"/>
      <c r="CD60" s="434"/>
      <c r="CE60" s="62"/>
      <c r="CF60" s="73"/>
      <c r="CG60" s="74"/>
      <c r="CH60" s="74"/>
      <c r="CI60" s="74"/>
      <c r="CJ60" s="74"/>
      <c r="CK60" s="74"/>
      <c r="CL60" s="74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31"/>
      <c r="DB60" s="31">
        <v>6</v>
      </c>
      <c r="DC60" s="31">
        <v>6</v>
      </c>
      <c r="DD60" s="31">
        <v>6</v>
      </c>
      <c r="DE60" s="31">
        <v>6</v>
      </c>
    </row>
    <row r="61" spans="1:110" hidden="1">
      <c r="A61" s="47"/>
      <c r="B61" s="187" t="s">
        <v>306</v>
      </c>
      <c r="C61" s="97" t="s">
        <v>54</v>
      </c>
      <c r="D61" s="31"/>
      <c r="E61" s="31"/>
      <c r="F61" s="31"/>
      <c r="G61" s="31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51"/>
      <c r="Y61" s="55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51"/>
      <c r="AK61" s="56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51"/>
      <c r="AW61" s="56"/>
      <c r="AX61" s="31"/>
      <c r="AY61" s="31">
        <v>17.850000000000001</v>
      </c>
      <c r="AZ61" s="109"/>
      <c r="BA61" s="62"/>
      <c r="BB61" s="62"/>
      <c r="BC61" s="62"/>
      <c r="BD61" s="62"/>
      <c r="BE61" s="110"/>
      <c r="BF61" s="109"/>
      <c r="BG61" s="62"/>
      <c r="BH61" s="62"/>
      <c r="BI61" s="110"/>
      <c r="BJ61" s="59"/>
      <c r="BK61" s="46"/>
      <c r="BL61" s="428"/>
      <c r="BM61" s="61"/>
      <c r="BN61" s="62"/>
      <c r="BO61" s="63"/>
      <c r="BP61" s="64"/>
      <c r="BQ61" s="61"/>
      <c r="BR61" s="65"/>
      <c r="BS61" s="66"/>
      <c r="BT61" s="64"/>
      <c r="BU61" s="61"/>
      <c r="BV61" s="65"/>
      <c r="BW61" s="66"/>
      <c r="BX61" s="431"/>
      <c r="BY61" s="68"/>
      <c r="BZ61" s="69"/>
      <c r="CA61" s="70"/>
      <c r="CB61" s="71"/>
      <c r="CC61" s="72"/>
      <c r="CD61" s="434"/>
      <c r="CE61" s="62"/>
      <c r="CF61" s="73"/>
      <c r="CG61" s="74"/>
      <c r="CH61" s="74"/>
      <c r="CI61" s="74"/>
      <c r="CJ61" s="74"/>
      <c r="CK61" s="74"/>
      <c r="CL61" s="74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31"/>
      <c r="DB61" s="31">
        <v>17.850000000000001</v>
      </c>
      <c r="DC61" s="31">
        <v>17.850000000000001</v>
      </c>
      <c r="DD61" s="31">
        <v>17.850000000000001</v>
      </c>
      <c r="DE61" s="31">
        <v>17.850000000000001</v>
      </c>
    </row>
    <row r="62" spans="1:110" hidden="1">
      <c r="A62" s="47"/>
      <c r="B62" s="187" t="s">
        <v>280</v>
      </c>
      <c r="C62" s="97" t="s">
        <v>54</v>
      </c>
      <c r="D62" s="31"/>
      <c r="E62" s="31">
        <v>392.78</v>
      </c>
      <c r="F62" s="31">
        <v>392.78</v>
      </c>
      <c r="G62" s="31">
        <v>392.78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51"/>
      <c r="Y62" s="55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51"/>
      <c r="AK62" s="56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51"/>
      <c r="AW62" s="56"/>
      <c r="AX62" s="31"/>
      <c r="AY62" s="31"/>
      <c r="AZ62" s="109"/>
      <c r="BA62" s="62"/>
      <c r="BB62" s="62"/>
      <c r="BC62" s="62"/>
      <c r="BD62" s="62"/>
      <c r="BE62" s="110"/>
      <c r="BF62" s="109"/>
      <c r="BG62" s="62"/>
      <c r="BH62" s="62"/>
      <c r="BI62" s="110"/>
      <c r="BJ62" s="59"/>
      <c r="BK62" s="46"/>
      <c r="BL62" s="428"/>
      <c r="BM62" s="61"/>
      <c r="BN62" s="62"/>
      <c r="BO62" s="63"/>
      <c r="BP62" s="64"/>
      <c r="BQ62" s="61"/>
      <c r="BR62" s="65"/>
      <c r="BS62" s="66"/>
      <c r="BT62" s="64"/>
      <c r="BU62" s="61"/>
      <c r="BV62" s="65"/>
      <c r="BW62" s="66"/>
      <c r="BX62" s="431"/>
      <c r="BY62" s="68"/>
      <c r="BZ62" s="69"/>
      <c r="CA62" s="70"/>
      <c r="CB62" s="71"/>
      <c r="CC62" s="72"/>
      <c r="CD62" s="434"/>
      <c r="CE62" s="62"/>
      <c r="CF62" s="73"/>
      <c r="CG62" s="74"/>
      <c r="CH62" s="74"/>
      <c r="CI62" s="74"/>
      <c r="CJ62" s="74"/>
      <c r="CK62" s="74"/>
      <c r="CL62" s="74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31">
        <v>392.78</v>
      </c>
      <c r="DB62" s="31">
        <f>392.78-6-17.85</f>
        <v>368.92999999999995</v>
      </c>
      <c r="DC62" s="31">
        <v>392.78</v>
      </c>
      <c r="DD62" s="31">
        <v>142.69999999999999</v>
      </c>
      <c r="DE62" s="31">
        <v>392.78</v>
      </c>
    </row>
    <row r="63" spans="1:110" hidden="1">
      <c r="A63" s="47"/>
      <c r="B63" s="187" t="s">
        <v>177</v>
      </c>
      <c r="C63" s="97" t="s">
        <v>54</v>
      </c>
      <c r="D63" s="31">
        <v>315</v>
      </c>
      <c r="E63" s="31">
        <v>397.5</v>
      </c>
      <c r="F63" s="31">
        <v>397.5</v>
      </c>
      <c r="G63" s="31">
        <v>397.5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51"/>
      <c r="Y63" s="55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51"/>
      <c r="AK63" s="56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51"/>
      <c r="AW63" s="56"/>
      <c r="AX63" s="31"/>
      <c r="AY63" s="31"/>
      <c r="AZ63" s="109"/>
      <c r="BA63" s="62">
        <v>378.25</v>
      </c>
      <c r="BB63" s="62"/>
      <c r="BC63" s="62"/>
      <c r="BD63" s="62"/>
      <c r="BE63" s="110"/>
      <c r="BF63" s="109"/>
      <c r="BG63" s="62"/>
      <c r="BH63" s="62"/>
      <c r="BI63" s="110"/>
      <c r="BJ63" s="59"/>
      <c r="BK63" s="46"/>
      <c r="BL63" s="428"/>
      <c r="BM63" s="61"/>
      <c r="BN63" s="62"/>
      <c r="BO63" s="63"/>
      <c r="BP63" s="64"/>
      <c r="BQ63" s="61"/>
      <c r="BR63" s="65"/>
      <c r="BS63" s="66"/>
      <c r="BT63" s="64"/>
      <c r="BU63" s="61"/>
      <c r="BV63" s="65"/>
      <c r="BW63" s="66"/>
      <c r="BX63" s="431"/>
      <c r="BY63" s="68"/>
      <c r="BZ63" s="69"/>
      <c r="CA63" s="70"/>
      <c r="CB63" s="71"/>
      <c r="CC63" s="72"/>
      <c r="CD63" s="434"/>
      <c r="CE63" s="62"/>
      <c r="CF63" s="73"/>
      <c r="CG63" s="74"/>
      <c r="CH63" s="74"/>
      <c r="CI63" s="74"/>
      <c r="CJ63" s="74"/>
      <c r="CK63" s="74"/>
      <c r="CL63" s="74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31">
        <v>397.5</v>
      </c>
      <c r="DB63" s="31">
        <v>397.5</v>
      </c>
      <c r="DC63" s="31">
        <v>397.5</v>
      </c>
      <c r="DD63" s="31">
        <v>203.4</v>
      </c>
      <c r="DE63" s="31">
        <v>397.5</v>
      </c>
    </row>
    <row r="64" spans="1:110" ht="12" hidden="1" customHeight="1">
      <c r="A64" s="47"/>
      <c r="B64" s="187" t="s">
        <v>219</v>
      </c>
      <c r="C64" s="97" t="s">
        <v>54</v>
      </c>
      <c r="D64" s="31"/>
      <c r="E64" s="31"/>
      <c r="F64" s="31"/>
      <c r="G64" s="31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51"/>
      <c r="Y64" s="55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51"/>
      <c r="AK64" s="56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51"/>
      <c r="AW64" s="56"/>
      <c r="AX64" s="31"/>
      <c r="AY64" s="31"/>
      <c r="AZ64" s="109"/>
      <c r="BA64" s="62"/>
      <c r="BB64" s="62"/>
      <c r="BC64" s="62"/>
      <c r="BD64" s="62"/>
      <c r="BE64" s="110"/>
      <c r="BF64" s="109"/>
      <c r="BG64" s="62">
        <v>3.78</v>
      </c>
      <c r="BH64" s="62"/>
      <c r="BI64" s="110"/>
      <c r="BJ64" s="59"/>
      <c r="BK64" s="46"/>
      <c r="BL64" s="428"/>
      <c r="BM64" s="61"/>
      <c r="BN64" s="62"/>
      <c r="BO64" s="63"/>
      <c r="BP64" s="64"/>
      <c r="BQ64" s="61"/>
      <c r="BR64" s="65"/>
      <c r="BS64" s="66"/>
      <c r="BT64" s="64"/>
      <c r="BU64" s="61"/>
      <c r="BV64" s="65"/>
      <c r="BW64" s="66"/>
      <c r="BX64" s="431"/>
      <c r="BY64" s="68"/>
      <c r="BZ64" s="69"/>
      <c r="CA64" s="70"/>
      <c r="CB64" s="71"/>
      <c r="CC64" s="72"/>
      <c r="CD64" s="434"/>
      <c r="CE64" s="62"/>
      <c r="CF64" s="73"/>
      <c r="CG64" s="74"/>
      <c r="CH64" s="74"/>
      <c r="CI64" s="74"/>
      <c r="CJ64" s="74"/>
      <c r="CK64" s="74"/>
      <c r="CL64" s="74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31"/>
      <c r="DB64" s="31"/>
      <c r="DC64" s="31"/>
      <c r="DD64" s="31"/>
      <c r="DE64" s="31"/>
    </row>
    <row r="65" spans="1:110" ht="24" hidden="1" customHeight="1">
      <c r="A65" s="47"/>
      <c r="B65" s="187" t="s">
        <v>218</v>
      </c>
      <c r="C65" s="97" t="s">
        <v>54</v>
      </c>
      <c r="D65" s="31"/>
      <c r="E65" s="31"/>
      <c r="F65" s="31"/>
      <c r="G65" s="31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51"/>
      <c r="Y65" s="55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51"/>
      <c r="AK65" s="56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51"/>
      <c r="AW65" s="56"/>
      <c r="AX65" s="31"/>
      <c r="AY65" s="31"/>
      <c r="AZ65" s="109"/>
      <c r="BA65" s="62"/>
      <c r="BB65" s="62"/>
      <c r="BC65" s="62"/>
      <c r="BD65" s="62"/>
      <c r="BE65" s="110"/>
      <c r="BF65" s="109"/>
      <c r="BG65" s="62">
        <v>23.85</v>
      </c>
      <c r="BH65" s="62"/>
      <c r="BI65" s="110"/>
      <c r="BJ65" s="59"/>
      <c r="BK65" s="46"/>
      <c r="BL65" s="428"/>
      <c r="BM65" s="61"/>
      <c r="BN65" s="62"/>
      <c r="BO65" s="63"/>
      <c r="BP65" s="64"/>
      <c r="BQ65" s="61"/>
      <c r="BR65" s="65"/>
      <c r="BS65" s="66"/>
      <c r="BT65" s="64"/>
      <c r="BU65" s="61"/>
      <c r="BV65" s="65"/>
      <c r="BW65" s="66"/>
      <c r="BX65" s="431"/>
      <c r="BY65" s="68"/>
      <c r="BZ65" s="69"/>
      <c r="CA65" s="70"/>
      <c r="CB65" s="71"/>
      <c r="CC65" s="72"/>
      <c r="CD65" s="434"/>
      <c r="CE65" s="62"/>
      <c r="CF65" s="73"/>
      <c r="CG65" s="74"/>
      <c r="CH65" s="74"/>
      <c r="CI65" s="74"/>
      <c r="CJ65" s="74"/>
      <c r="CK65" s="74"/>
      <c r="CL65" s="74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31"/>
      <c r="DB65" s="31"/>
      <c r="DC65" s="31"/>
      <c r="DD65" s="31"/>
      <c r="DE65" s="31"/>
    </row>
    <row r="66" spans="1:110" hidden="1">
      <c r="A66" s="47"/>
      <c r="B66" s="187" t="s">
        <v>14</v>
      </c>
      <c r="C66" s="97" t="s">
        <v>54</v>
      </c>
      <c r="D66" s="31">
        <v>65</v>
      </c>
      <c r="E66" s="31">
        <v>84</v>
      </c>
      <c r="F66" s="31">
        <v>84</v>
      </c>
      <c r="G66" s="31">
        <v>84</v>
      </c>
      <c r="H66" s="134">
        <v>66</v>
      </c>
      <c r="I66" s="134"/>
      <c r="J66" s="134"/>
      <c r="K66" s="134"/>
      <c r="L66" s="134">
        <f>G66/12</f>
        <v>7</v>
      </c>
      <c r="M66" s="134">
        <v>5.5</v>
      </c>
      <c r="N66" s="134">
        <f>H66/12</f>
        <v>5.5</v>
      </c>
      <c r="O66" s="134"/>
      <c r="P66" s="134"/>
      <c r="Q66" s="134"/>
      <c r="R66" s="134"/>
      <c r="S66" s="134"/>
      <c r="T66" s="134"/>
      <c r="U66" s="134"/>
      <c r="V66" s="134"/>
      <c r="W66" s="134"/>
      <c r="X66" s="51">
        <f>O66-N66</f>
        <v>-5.5</v>
      </c>
      <c r="Y66" s="55">
        <f>O66/N66</f>
        <v>0</v>
      </c>
      <c r="Z66" s="134">
        <v>5.5</v>
      </c>
      <c r="AA66" s="134">
        <v>5.5</v>
      </c>
      <c r="AB66" s="134">
        <v>5.5</v>
      </c>
      <c r="AC66" s="134"/>
      <c r="AD66" s="134"/>
      <c r="AE66" s="134"/>
      <c r="AF66" s="134"/>
      <c r="AG66" s="134"/>
      <c r="AH66" s="134"/>
      <c r="AI66" s="134"/>
      <c r="AJ66" s="51">
        <f>AC66-AB66</f>
        <v>-5.5</v>
      </c>
      <c r="AK66" s="56">
        <f>AC66/AB66</f>
        <v>0</v>
      </c>
      <c r="AL66" s="134">
        <v>5.5</v>
      </c>
      <c r="AM66" s="134">
        <v>5.5</v>
      </c>
      <c r="AN66" s="134">
        <v>5.5</v>
      </c>
      <c r="AO66" s="134"/>
      <c r="AP66" s="134"/>
      <c r="AQ66" s="134"/>
      <c r="AR66" s="134"/>
      <c r="AS66" s="134"/>
      <c r="AT66" s="134"/>
      <c r="AU66" s="134"/>
      <c r="AV66" s="51">
        <f>AO66-AN66</f>
        <v>-5.5</v>
      </c>
      <c r="AW66" s="56">
        <f>AO66/AN66</f>
        <v>0</v>
      </c>
      <c r="AX66" s="31">
        <f t="shared" ref="AX66:AX93" si="32">G66/2</f>
        <v>42</v>
      </c>
      <c r="AY66" s="31">
        <v>74.5</v>
      </c>
      <c r="AZ66" s="109"/>
      <c r="BA66" s="62">
        <v>50.97</v>
      </c>
      <c r="BB66" s="62"/>
      <c r="BC66" s="62">
        <v>12.73</v>
      </c>
      <c r="BD66" s="62"/>
      <c r="BE66" s="110"/>
      <c r="BF66" s="109">
        <v>2.2999999999999998</v>
      </c>
      <c r="BG66" s="62"/>
      <c r="BH66" s="62"/>
      <c r="BI66" s="110"/>
      <c r="BJ66" s="59">
        <f t="shared" si="16"/>
        <v>50.97</v>
      </c>
      <c r="BK66" s="46" t="e">
        <f>BA66/AZ66</f>
        <v>#DIV/0!</v>
      </c>
      <c r="BL66" s="428"/>
      <c r="BM66" s="61">
        <v>5.5</v>
      </c>
      <c r="BN66" s="62"/>
      <c r="BO66" s="63"/>
      <c r="BP66" s="64"/>
      <c r="BQ66" s="61"/>
      <c r="BR66" s="65"/>
      <c r="BS66" s="66"/>
      <c r="BT66" s="64"/>
      <c r="BU66" s="61"/>
      <c r="BV66" s="65"/>
      <c r="BW66" s="66"/>
      <c r="BX66" s="431"/>
      <c r="BY66" s="68"/>
      <c r="BZ66" s="69">
        <f>M66+BM66+BQ66+BU66</f>
        <v>11</v>
      </c>
      <c r="CA66" s="70"/>
      <c r="CB66" s="71"/>
      <c r="CC66" s="72">
        <f>BZ66-E66</f>
        <v>-73</v>
      </c>
      <c r="CD66" s="434">
        <v>60</v>
      </c>
      <c r="CE66" s="62"/>
      <c r="CF66" s="73"/>
      <c r="CG66" s="74"/>
      <c r="CH66" s="74"/>
      <c r="CI66" s="74"/>
      <c r="CJ66" s="74"/>
      <c r="CK66" s="74"/>
      <c r="CL66" s="74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31">
        <v>84</v>
      </c>
      <c r="DB66" s="31">
        <v>84</v>
      </c>
      <c r="DC66" s="31">
        <v>84</v>
      </c>
      <c r="DD66" s="31">
        <v>84</v>
      </c>
      <c r="DE66" s="31">
        <v>84</v>
      </c>
    </row>
    <row r="67" spans="1:110" hidden="1">
      <c r="A67" s="47"/>
      <c r="B67" s="187" t="s">
        <v>57</v>
      </c>
      <c r="C67" s="97" t="s">
        <v>54</v>
      </c>
      <c r="D67" s="31">
        <v>84</v>
      </c>
      <c r="E67" s="31">
        <v>100.8</v>
      </c>
      <c r="F67" s="31">
        <v>100.8</v>
      </c>
      <c r="G67" s="31">
        <v>100.8</v>
      </c>
      <c r="H67" s="134">
        <v>52.33</v>
      </c>
      <c r="I67" s="134"/>
      <c r="J67" s="134"/>
      <c r="K67" s="134"/>
      <c r="L67" s="134">
        <f>G67/12</f>
        <v>8.4</v>
      </c>
      <c r="M67" s="134"/>
      <c r="N67" s="134">
        <f>H67/12</f>
        <v>4.3608333333333329</v>
      </c>
      <c r="O67" s="134"/>
      <c r="P67" s="134"/>
      <c r="Q67" s="134"/>
      <c r="R67" s="134"/>
      <c r="S67" s="134"/>
      <c r="T67" s="134"/>
      <c r="U67" s="134"/>
      <c r="V67" s="134"/>
      <c r="W67" s="134"/>
      <c r="X67" s="51">
        <f>O67-N67</f>
        <v>-4.3608333333333329</v>
      </c>
      <c r="Y67" s="55">
        <f>O67/N67</f>
        <v>0</v>
      </c>
      <c r="Z67" s="134">
        <v>4.3600000000000003</v>
      </c>
      <c r="AA67" s="134">
        <v>12</v>
      </c>
      <c r="AB67" s="134">
        <v>4.3600000000000003</v>
      </c>
      <c r="AC67" s="134"/>
      <c r="AD67" s="134"/>
      <c r="AE67" s="134"/>
      <c r="AF67" s="134"/>
      <c r="AG67" s="134"/>
      <c r="AH67" s="134"/>
      <c r="AI67" s="134"/>
      <c r="AJ67" s="51">
        <f>AC67-AB67</f>
        <v>-4.3600000000000003</v>
      </c>
      <c r="AK67" s="56">
        <f>AC67/AB67</f>
        <v>0</v>
      </c>
      <c r="AL67" s="134">
        <v>4.3600000000000003</v>
      </c>
      <c r="AM67" s="134">
        <v>12</v>
      </c>
      <c r="AN67" s="134">
        <v>4.3600000000000003</v>
      </c>
      <c r="AO67" s="134"/>
      <c r="AP67" s="134"/>
      <c r="AQ67" s="134"/>
      <c r="AR67" s="134"/>
      <c r="AS67" s="134"/>
      <c r="AT67" s="134"/>
      <c r="AU67" s="134"/>
      <c r="AV67" s="51">
        <f>AO67-AN67</f>
        <v>-4.3600000000000003</v>
      </c>
      <c r="AW67" s="56">
        <f>AO67/AN67</f>
        <v>0</v>
      </c>
      <c r="AX67" s="31">
        <f t="shared" si="32"/>
        <v>50.4</v>
      </c>
      <c r="AY67" s="31">
        <v>67</v>
      </c>
      <c r="AZ67" s="109"/>
      <c r="BA67" s="62">
        <v>75.69</v>
      </c>
      <c r="BB67" s="62"/>
      <c r="BC67" s="62">
        <v>22.51</v>
      </c>
      <c r="BD67" s="62"/>
      <c r="BE67" s="110"/>
      <c r="BF67" s="109"/>
      <c r="BG67" s="62"/>
      <c r="BH67" s="62"/>
      <c r="BI67" s="110"/>
      <c r="BJ67" s="59">
        <f t="shared" si="16"/>
        <v>75.69</v>
      </c>
      <c r="BK67" s="46" t="e">
        <f>BA67/AZ67</f>
        <v>#DIV/0!</v>
      </c>
      <c r="BL67" s="428"/>
      <c r="BM67" s="61">
        <v>12</v>
      </c>
      <c r="BN67" s="62"/>
      <c r="BO67" s="63"/>
      <c r="BP67" s="64"/>
      <c r="BQ67" s="61"/>
      <c r="BR67" s="65"/>
      <c r="BS67" s="66"/>
      <c r="BT67" s="64"/>
      <c r="BU67" s="61"/>
      <c r="BV67" s="65"/>
      <c r="BW67" s="66"/>
      <c r="BX67" s="431"/>
      <c r="BY67" s="68"/>
      <c r="BZ67" s="69">
        <f>M67+BM67+BQ67+BU67</f>
        <v>12</v>
      </c>
      <c r="CA67" s="70"/>
      <c r="CB67" s="71"/>
      <c r="CC67" s="72">
        <f>BZ67-E67</f>
        <v>-88.8</v>
      </c>
      <c r="CD67" s="434">
        <v>65.5</v>
      </c>
      <c r="CE67" s="62"/>
      <c r="CF67" s="73"/>
      <c r="CG67" s="74"/>
      <c r="CH67" s="74"/>
      <c r="CI67" s="74"/>
      <c r="CJ67" s="74"/>
      <c r="CK67" s="74"/>
      <c r="CL67" s="74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31">
        <v>100.8</v>
      </c>
      <c r="DB67" s="31">
        <v>100.8</v>
      </c>
      <c r="DC67" s="31">
        <v>100.8</v>
      </c>
      <c r="DD67" s="31">
        <v>63</v>
      </c>
      <c r="DE67" s="31">
        <v>100.8</v>
      </c>
    </row>
    <row r="68" spans="1:110" ht="12" customHeight="1">
      <c r="A68" s="177" t="s">
        <v>254</v>
      </c>
      <c r="B68" s="178" t="s">
        <v>5</v>
      </c>
      <c r="C68" s="266" t="s">
        <v>54</v>
      </c>
      <c r="D68" s="179">
        <f>SUM(D69:D70)</f>
        <v>216.63</v>
      </c>
      <c r="E68" s="179">
        <f>SUM(E69:E70)</f>
        <v>635</v>
      </c>
      <c r="F68" s="179">
        <f>SUM(F69:F70)</f>
        <v>385</v>
      </c>
      <c r="G68" s="179">
        <f>SUM(G69:G70)</f>
        <v>385</v>
      </c>
      <c r="H68" s="180">
        <f t="shared" ref="H68:U68" si="33">SUM(H69)</f>
        <v>0</v>
      </c>
      <c r="I68" s="180">
        <f t="shared" si="33"/>
        <v>255</v>
      </c>
      <c r="J68" s="180">
        <f t="shared" si="33"/>
        <v>66.3</v>
      </c>
      <c r="K68" s="180">
        <f t="shared" si="33"/>
        <v>188.7</v>
      </c>
      <c r="L68" s="180">
        <f t="shared" si="33"/>
        <v>0</v>
      </c>
      <c r="M68" s="180">
        <f t="shared" si="33"/>
        <v>0</v>
      </c>
      <c r="N68" s="180">
        <f t="shared" si="33"/>
        <v>0</v>
      </c>
      <c r="O68" s="180">
        <f t="shared" si="33"/>
        <v>0</v>
      </c>
      <c r="P68" s="180">
        <v>0</v>
      </c>
      <c r="Q68" s="180">
        <f>Q69</f>
        <v>0</v>
      </c>
      <c r="R68" s="180">
        <v>21.25</v>
      </c>
      <c r="S68" s="180">
        <f t="shared" si="33"/>
        <v>0</v>
      </c>
      <c r="T68" s="180">
        <f t="shared" si="33"/>
        <v>15.725</v>
      </c>
      <c r="U68" s="180">
        <f t="shared" si="33"/>
        <v>0</v>
      </c>
      <c r="V68" s="180">
        <v>0</v>
      </c>
      <c r="W68" s="180"/>
      <c r="X68" s="181"/>
      <c r="Y68" s="191"/>
      <c r="Z68" s="180">
        <f t="shared" ref="Z68:AG68" si="34">SUM(Z69)</f>
        <v>21.25</v>
      </c>
      <c r="AA68" s="180">
        <f t="shared" si="34"/>
        <v>0</v>
      </c>
      <c r="AB68" s="180">
        <f t="shared" si="34"/>
        <v>0</v>
      </c>
      <c r="AC68" s="180">
        <f t="shared" si="34"/>
        <v>0</v>
      </c>
      <c r="AD68" s="180">
        <f t="shared" si="34"/>
        <v>5.5250000000000004</v>
      </c>
      <c r="AE68" s="180">
        <f t="shared" si="34"/>
        <v>0</v>
      </c>
      <c r="AF68" s="180">
        <f t="shared" si="34"/>
        <v>15.73</v>
      </c>
      <c r="AG68" s="180">
        <f t="shared" si="34"/>
        <v>0</v>
      </c>
      <c r="AH68" s="180"/>
      <c r="AI68" s="180"/>
      <c r="AJ68" s="181"/>
      <c r="AK68" s="192"/>
      <c r="AL68" s="180">
        <f t="shared" ref="AL68:AS68" si="35">SUM(AL69)</f>
        <v>21.25</v>
      </c>
      <c r="AM68" s="180">
        <f t="shared" si="35"/>
        <v>0</v>
      </c>
      <c r="AN68" s="180">
        <f t="shared" si="35"/>
        <v>0</v>
      </c>
      <c r="AO68" s="180">
        <f t="shared" si="35"/>
        <v>0</v>
      </c>
      <c r="AP68" s="180">
        <f t="shared" si="35"/>
        <v>5.5250000000000004</v>
      </c>
      <c r="AQ68" s="180">
        <f t="shared" si="35"/>
        <v>0</v>
      </c>
      <c r="AR68" s="180">
        <f t="shared" si="35"/>
        <v>15.73</v>
      </c>
      <c r="AS68" s="180">
        <f t="shared" si="35"/>
        <v>0</v>
      </c>
      <c r="AT68" s="180"/>
      <c r="AU68" s="180"/>
      <c r="AV68" s="181"/>
      <c r="AW68" s="192"/>
      <c r="AX68" s="179">
        <f t="shared" si="32"/>
        <v>192.5</v>
      </c>
      <c r="AY68" s="179">
        <f>99.98</f>
        <v>99.98</v>
      </c>
      <c r="AZ68" s="184">
        <f>H68/4</f>
        <v>0</v>
      </c>
      <c r="BA68" s="185">
        <f>SUM(BA69)</f>
        <v>178.3</v>
      </c>
      <c r="BB68" s="185">
        <f t="shared" ref="BB68:BG68" si="36">SUM(BB69)</f>
        <v>63.75</v>
      </c>
      <c r="BC68" s="185">
        <f t="shared" si="36"/>
        <v>92</v>
      </c>
      <c r="BD68" s="185">
        <f t="shared" si="36"/>
        <v>0</v>
      </c>
      <c r="BE68" s="186">
        <f t="shared" si="36"/>
        <v>0</v>
      </c>
      <c r="BF68" s="184">
        <f t="shared" si="36"/>
        <v>5.7</v>
      </c>
      <c r="BG68" s="185">
        <f t="shared" si="36"/>
        <v>0</v>
      </c>
      <c r="BH68" s="185"/>
      <c r="BI68" s="186"/>
      <c r="BJ68" s="426">
        <f t="shared" si="16"/>
        <v>178.3</v>
      </c>
      <c r="BK68" s="481"/>
      <c r="BL68" s="468"/>
      <c r="BM68" s="469"/>
      <c r="BN68" s="264"/>
      <c r="BO68" s="470"/>
      <c r="BP68" s="471"/>
      <c r="BQ68" s="469"/>
      <c r="BR68" s="472"/>
      <c r="BS68" s="473"/>
      <c r="BT68" s="471"/>
      <c r="BU68" s="469"/>
      <c r="BV68" s="472"/>
      <c r="BW68" s="473"/>
      <c r="BX68" s="474">
        <v>618.70000000000005</v>
      </c>
      <c r="BY68" s="475">
        <f>F68</f>
        <v>385</v>
      </c>
      <c r="BZ68" s="320">
        <f>M68+BM68+BQ68+BU68</f>
        <v>0</v>
      </c>
      <c r="CA68" s="469">
        <f>BZ68-BY68</f>
        <v>-385</v>
      </c>
      <c r="CB68" s="476">
        <f>BZ68/BY68</f>
        <v>0</v>
      </c>
      <c r="CC68" s="307">
        <f>BZ68-E68</f>
        <v>-635</v>
      </c>
      <c r="CD68" s="477">
        <f>SUM(CD69)</f>
        <v>308</v>
      </c>
      <c r="CE68" s="185">
        <f>SUM(CE69)</f>
        <v>77</v>
      </c>
      <c r="CF68" s="478"/>
      <c r="CG68" s="465"/>
      <c r="CH68" s="465"/>
      <c r="CI68" s="465"/>
      <c r="CJ68" s="465"/>
      <c r="CK68" s="465"/>
      <c r="CL68" s="465"/>
      <c r="CM68" s="466"/>
      <c r="CN68" s="466"/>
      <c r="CO68" s="466"/>
      <c r="CP68" s="466"/>
      <c r="CQ68" s="466"/>
      <c r="CR68" s="466"/>
      <c r="CS68" s="466"/>
      <c r="CT68" s="466"/>
      <c r="CU68" s="466"/>
      <c r="CV68" s="466"/>
      <c r="CW68" s="466"/>
      <c r="CX68" s="466"/>
      <c r="CY68" s="466"/>
      <c r="CZ68" s="466"/>
      <c r="DA68" s="179">
        <f>SUM(DA69:DA70)</f>
        <v>635</v>
      </c>
      <c r="DB68" s="179">
        <f>SUM(DB69:DB70)</f>
        <v>385</v>
      </c>
      <c r="DC68" s="179">
        <f>SUM(DC69:DC70)</f>
        <v>385</v>
      </c>
      <c r="DD68" s="179">
        <f>SUM(DD69:DD70)</f>
        <v>385</v>
      </c>
      <c r="DE68" s="179">
        <f>SUM(DE69:DE70)</f>
        <v>396</v>
      </c>
    </row>
    <row r="69" spans="1:110" hidden="1">
      <c r="A69" s="177"/>
      <c r="B69" s="187" t="s">
        <v>185</v>
      </c>
      <c r="C69" s="97" t="s">
        <v>54</v>
      </c>
      <c r="D69" s="31">
        <v>216.63</v>
      </c>
      <c r="E69" s="31">
        <v>250</v>
      </c>
      <c r="F69" s="31"/>
      <c r="G69" s="31"/>
      <c r="H69" s="134">
        <v>0</v>
      </c>
      <c r="I69" s="134">
        <v>255</v>
      </c>
      <c r="J69" s="134">
        <v>66.3</v>
      </c>
      <c r="K69" s="134">
        <v>188.7</v>
      </c>
      <c r="L69" s="134">
        <f>G69/12</f>
        <v>0</v>
      </c>
      <c r="M69" s="134">
        <v>0</v>
      </c>
      <c r="N69" s="134"/>
      <c r="O69" s="134"/>
      <c r="P69" s="134"/>
      <c r="Q69" s="134">
        <v>0</v>
      </c>
      <c r="R69" s="134">
        <v>5.5250000000000004</v>
      </c>
      <c r="S69" s="134"/>
      <c r="T69" s="134">
        <v>15.725</v>
      </c>
      <c r="U69" s="134"/>
      <c r="V69" s="134"/>
      <c r="W69" s="134"/>
      <c r="X69" s="51"/>
      <c r="Y69" s="55"/>
      <c r="Z69" s="134">
        <v>21.25</v>
      </c>
      <c r="AA69" s="134"/>
      <c r="AB69" s="134"/>
      <c r="AC69" s="134"/>
      <c r="AD69" s="134">
        <v>5.5250000000000004</v>
      </c>
      <c r="AE69" s="134"/>
      <c r="AF69" s="134">
        <v>15.73</v>
      </c>
      <c r="AG69" s="134"/>
      <c r="AH69" s="134"/>
      <c r="AI69" s="134"/>
      <c r="AJ69" s="51"/>
      <c r="AK69" s="56"/>
      <c r="AL69" s="134">
        <v>21.25</v>
      </c>
      <c r="AM69" s="134"/>
      <c r="AN69" s="134"/>
      <c r="AO69" s="134"/>
      <c r="AP69" s="134">
        <v>5.5250000000000004</v>
      </c>
      <c r="AQ69" s="134"/>
      <c r="AR69" s="134">
        <v>15.73</v>
      </c>
      <c r="AS69" s="134"/>
      <c r="AT69" s="134"/>
      <c r="AU69" s="134"/>
      <c r="AV69" s="51"/>
      <c r="AW69" s="56"/>
      <c r="AX69" s="179">
        <f t="shared" si="32"/>
        <v>0</v>
      </c>
      <c r="AY69" s="31">
        <v>99.98</v>
      </c>
      <c r="AZ69" s="109"/>
      <c r="BA69" s="62">
        <v>178.3</v>
      </c>
      <c r="BB69" s="62">
        <f>I69/4</f>
        <v>63.75</v>
      </c>
      <c r="BC69" s="62">
        <v>92</v>
      </c>
      <c r="BD69" s="62"/>
      <c r="BE69" s="110"/>
      <c r="BF69" s="109">
        <v>5.7</v>
      </c>
      <c r="BG69" s="62"/>
      <c r="BH69" s="62"/>
      <c r="BI69" s="110"/>
      <c r="BJ69" s="426">
        <f t="shared" si="16"/>
        <v>178.3</v>
      </c>
      <c r="BK69" s="46"/>
      <c r="BL69" s="428"/>
      <c r="BM69" s="61"/>
      <c r="BN69" s="399"/>
      <c r="BO69" s="63"/>
      <c r="BP69" s="64"/>
      <c r="BQ69" s="61"/>
      <c r="BR69" s="479"/>
      <c r="BS69" s="66"/>
      <c r="BT69" s="64"/>
      <c r="BU69" s="61"/>
      <c r="BV69" s="65"/>
      <c r="BW69" s="66"/>
      <c r="BX69" s="431"/>
      <c r="BY69" s="68"/>
      <c r="BZ69" s="69">
        <v>385</v>
      </c>
      <c r="CA69" s="70"/>
      <c r="CB69" s="71"/>
      <c r="CC69" s="72">
        <f>BZ69-E69</f>
        <v>135</v>
      </c>
      <c r="CD69" s="434">
        <v>308</v>
      </c>
      <c r="CE69" s="62">
        <v>77</v>
      </c>
      <c r="CF69" s="73"/>
      <c r="CG69" s="74"/>
      <c r="CH69" s="74"/>
      <c r="CI69" s="74"/>
      <c r="CJ69" s="74"/>
      <c r="CK69" s="74"/>
      <c r="CL69" s="74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31">
        <v>250</v>
      </c>
      <c r="DB69" s="31"/>
      <c r="DC69" s="31"/>
      <c r="DD69" s="31"/>
      <c r="DE69" s="31">
        <v>396</v>
      </c>
      <c r="DF69" s="768"/>
    </row>
    <row r="70" spans="1:110" hidden="1">
      <c r="A70" s="177"/>
      <c r="B70" s="187" t="s">
        <v>247</v>
      </c>
      <c r="C70" s="97" t="s">
        <v>54</v>
      </c>
      <c r="D70" s="31"/>
      <c r="E70" s="31">
        <v>385</v>
      </c>
      <c r="F70" s="31">
        <v>385</v>
      </c>
      <c r="G70" s="31">
        <v>385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51"/>
      <c r="Y70" s="55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51"/>
      <c r="AK70" s="56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51"/>
      <c r="AW70" s="56"/>
      <c r="AX70" s="179">
        <f t="shared" si="32"/>
        <v>192.5</v>
      </c>
      <c r="AY70" s="31"/>
      <c r="AZ70" s="109"/>
      <c r="BA70" s="62"/>
      <c r="BB70" s="62"/>
      <c r="BC70" s="62"/>
      <c r="BD70" s="62"/>
      <c r="BE70" s="110"/>
      <c r="BF70" s="109"/>
      <c r="BG70" s="62"/>
      <c r="BH70" s="62"/>
      <c r="BI70" s="110"/>
      <c r="BJ70" s="426"/>
      <c r="BK70" s="46"/>
      <c r="BL70" s="428"/>
      <c r="BM70" s="61"/>
      <c r="BN70" s="399"/>
      <c r="BO70" s="63"/>
      <c r="BP70" s="64"/>
      <c r="BQ70" s="61"/>
      <c r="BR70" s="479"/>
      <c r="BS70" s="66"/>
      <c r="BT70" s="64"/>
      <c r="BU70" s="61"/>
      <c r="BV70" s="65"/>
      <c r="BW70" s="66"/>
      <c r="BX70" s="431"/>
      <c r="BY70" s="68"/>
      <c r="BZ70" s="69"/>
      <c r="CA70" s="70"/>
      <c r="CB70" s="71"/>
      <c r="CC70" s="72"/>
      <c r="CD70" s="434"/>
      <c r="CE70" s="62"/>
      <c r="CF70" s="73"/>
      <c r="CG70" s="74"/>
      <c r="CH70" s="74"/>
      <c r="CI70" s="74"/>
      <c r="CJ70" s="74"/>
      <c r="CK70" s="74"/>
      <c r="CL70" s="74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31">
        <v>385</v>
      </c>
      <c r="DB70" s="31">
        <v>385</v>
      </c>
      <c r="DC70" s="31">
        <v>385</v>
      </c>
      <c r="DD70" s="31">
        <v>385</v>
      </c>
      <c r="DE70" s="31"/>
      <c r="DF70" s="768"/>
    </row>
    <row r="71" spans="1:110">
      <c r="A71" s="177" t="s">
        <v>255</v>
      </c>
      <c r="B71" s="178" t="s">
        <v>15</v>
      </c>
      <c r="C71" s="266" t="s">
        <v>54</v>
      </c>
      <c r="D71" s="179">
        <f>SUM(D72:D84)</f>
        <v>2444.4399999999996</v>
      </c>
      <c r="E71" s="179">
        <f>SUM(E72:E84)</f>
        <v>2315.08</v>
      </c>
      <c r="F71" s="179">
        <f>SUM(F72:F84)</f>
        <v>2375.0800000000004</v>
      </c>
      <c r="G71" s="179">
        <f>SUM(G72:G84)</f>
        <v>2375.0800000000004</v>
      </c>
      <c r="H71" s="180">
        <f t="shared" ref="H71:M71" si="37">SUM(H72:H84)</f>
        <v>750</v>
      </c>
      <c r="I71" s="180">
        <f t="shared" si="37"/>
        <v>1178.55</v>
      </c>
      <c r="J71" s="180">
        <f t="shared" si="37"/>
        <v>306.42</v>
      </c>
      <c r="K71" s="180">
        <f t="shared" si="37"/>
        <v>872.13</v>
      </c>
      <c r="L71" s="180">
        <f t="shared" si="37"/>
        <v>155.40333333333334</v>
      </c>
      <c r="M71" s="180">
        <f t="shared" si="37"/>
        <v>66.039999999999992</v>
      </c>
      <c r="N71" s="180">
        <v>52.04</v>
      </c>
      <c r="O71" s="180">
        <v>38.07</v>
      </c>
      <c r="P71" s="180">
        <v>10.46</v>
      </c>
      <c r="Q71" s="180">
        <v>12.49</v>
      </c>
      <c r="R71" s="180">
        <v>98.21</v>
      </c>
      <c r="S71" s="180">
        <v>15.27</v>
      </c>
      <c r="T71" s="180">
        <f>SUM(T72:T84)</f>
        <v>72.677499999999995</v>
      </c>
      <c r="U71" s="180">
        <f>SUM(U72:U84)</f>
        <v>0</v>
      </c>
      <c r="V71" s="180">
        <v>0.21</v>
      </c>
      <c r="W71" s="180"/>
      <c r="X71" s="181">
        <f>O71-N71</f>
        <v>-13.969999999999999</v>
      </c>
      <c r="Y71" s="191">
        <f>O71/N71</f>
        <v>0.73155265180630291</v>
      </c>
      <c r="Z71" s="180">
        <f t="shared" ref="Z71:AG71" si="38">SUM(Z72:Z84)</f>
        <v>160.71</v>
      </c>
      <c r="AA71" s="180">
        <f t="shared" si="38"/>
        <v>126.53999999999999</v>
      </c>
      <c r="AB71" s="180">
        <f t="shared" si="38"/>
        <v>62.5</v>
      </c>
      <c r="AC71" s="180">
        <f t="shared" si="38"/>
        <v>0</v>
      </c>
      <c r="AD71" s="180">
        <f t="shared" si="38"/>
        <v>25.535</v>
      </c>
      <c r="AE71" s="180">
        <f t="shared" si="38"/>
        <v>0</v>
      </c>
      <c r="AF71" s="180">
        <f t="shared" si="38"/>
        <v>72.680000000000007</v>
      </c>
      <c r="AG71" s="180">
        <f t="shared" si="38"/>
        <v>0</v>
      </c>
      <c r="AH71" s="180"/>
      <c r="AI71" s="180"/>
      <c r="AJ71" s="181">
        <f>AC71-AB71</f>
        <v>-62.5</v>
      </c>
      <c r="AK71" s="192">
        <f>AC71/AB71</f>
        <v>0</v>
      </c>
      <c r="AL71" s="180">
        <f t="shared" ref="AL71:AS71" si="39">SUM(AL72:AL84)</f>
        <v>160.71</v>
      </c>
      <c r="AM71" s="180">
        <f t="shared" si="39"/>
        <v>126.53999999999999</v>
      </c>
      <c r="AN71" s="180">
        <f t="shared" si="39"/>
        <v>62.5</v>
      </c>
      <c r="AO71" s="180">
        <f t="shared" si="39"/>
        <v>0</v>
      </c>
      <c r="AP71" s="180">
        <f t="shared" si="39"/>
        <v>25.535</v>
      </c>
      <c r="AQ71" s="180">
        <f t="shared" si="39"/>
        <v>0</v>
      </c>
      <c r="AR71" s="180">
        <f t="shared" si="39"/>
        <v>72.680000000000007</v>
      </c>
      <c r="AS71" s="180">
        <f t="shared" si="39"/>
        <v>0</v>
      </c>
      <c r="AT71" s="180"/>
      <c r="AU71" s="180"/>
      <c r="AV71" s="181">
        <f>AO71-AN71</f>
        <v>-62.5</v>
      </c>
      <c r="AW71" s="192">
        <f>AO71/AN71</f>
        <v>0</v>
      </c>
      <c r="AX71" s="179">
        <f t="shared" si="32"/>
        <v>1187.5400000000002</v>
      </c>
      <c r="AY71" s="179">
        <f>SUM(AY72:AY84)</f>
        <v>1929.65</v>
      </c>
      <c r="AZ71" s="184">
        <f t="shared" ref="AZ71:BG71" si="40">SUM(AZ72:AZ84)</f>
        <v>0</v>
      </c>
      <c r="BA71" s="185">
        <f>SUM(BA72:BA84)</f>
        <v>1265.06</v>
      </c>
      <c r="BB71" s="185">
        <f t="shared" si="40"/>
        <v>0</v>
      </c>
      <c r="BC71" s="185">
        <f t="shared" si="40"/>
        <v>450.52000000000004</v>
      </c>
      <c r="BD71" s="185">
        <f t="shared" si="40"/>
        <v>0</v>
      </c>
      <c r="BE71" s="186">
        <f t="shared" si="40"/>
        <v>448.98</v>
      </c>
      <c r="BF71" s="184">
        <f t="shared" si="40"/>
        <v>82.38000000000001</v>
      </c>
      <c r="BG71" s="185">
        <f t="shared" si="40"/>
        <v>5.85</v>
      </c>
      <c r="BH71" s="185"/>
      <c r="BI71" s="186"/>
      <c r="BJ71" s="426">
        <f t="shared" si="16"/>
        <v>1265.06</v>
      </c>
      <c r="BK71" s="481" t="e">
        <f>BA71/AZ71</f>
        <v>#DIV/0!</v>
      </c>
      <c r="BL71" s="468"/>
      <c r="BM71" s="469">
        <f>SUM(BM72:BM84)</f>
        <v>126.539</v>
      </c>
      <c r="BN71" s="264"/>
      <c r="BO71" s="470"/>
      <c r="BP71" s="471"/>
      <c r="BQ71" s="469"/>
      <c r="BR71" s="472"/>
      <c r="BS71" s="473"/>
      <c r="BT71" s="471"/>
      <c r="BU71" s="469"/>
      <c r="BV71" s="472"/>
      <c r="BW71" s="473"/>
      <c r="BX71" s="474">
        <v>1655.98</v>
      </c>
      <c r="BY71" s="475">
        <f>F71</f>
        <v>2375.0800000000004</v>
      </c>
      <c r="BZ71" s="320">
        <f>M71+BM71+BQ71+BU71</f>
        <v>192.57900000000001</v>
      </c>
      <c r="CA71" s="469">
        <f>BZ71-BY71</f>
        <v>-2182.5010000000002</v>
      </c>
      <c r="CB71" s="476">
        <f>BZ71/BY71</f>
        <v>8.1083163514492129E-2</v>
      </c>
      <c r="CC71" s="307">
        <f>BZ71-E71</f>
        <v>-2122.5009999999997</v>
      </c>
      <c r="CD71" s="477">
        <f>SUM(CD74:CD84)</f>
        <v>519.21350000000007</v>
      </c>
      <c r="CE71" s="185">
        <f>SUM(CE74:CE84)</f>
        <v>19.920000000000002</v>
      </c>
      <c r="CF71" s="478"/>
      <c r="CG71" s="465"/>
      <c r="CH71" s="465"/>
      <c r="CI71" s="465"/>
      <c r="CJ71" s="465"/>
      <c r="CK71" s="465"/>
      <c r="CL71" s="465"/>
      <c r="CM71" s="466"/>
      <c r="CN71" s="466"/>
      <c r="CO71" s="466"/>
      <c r="CP71" s="466"/>
      <c r="CQ71" s="466"/>
      <c r="CR71" s="466"/>
      <c r="CS71" s="466"/>
      <c r="CT71" s="466"/>
      <c r="CU71" s="466"/>
      <c r="CV71" s="466"/>
      <c r="CW71" s="466"/>
      <c r="CX71" s="466"/>
      <c r="CY71" s="466"/>
      <c r="CZ71" s="466"/>
      <c r="DA71" s="179">
        <f>SUM(DA72:DA84)</f>
        <v>2315.08</v>
      </c>
      <c r="DB71" s="179">
        <f>SUM(DB72:DB84)</f>
        <v>2375.08</v>
      </c>
      <c r="DC71" s="179">
        <f>SUM(DC72:DC84)</f>
        <v>2383.48</v>
      </c>
      <c r="DD71" s="179">
        <f>SUM(DD72:DD84)</f>
        <v>2193.9499999999998</v>
      </c>
      <c r="DE71" s="179">
        <f>SUM(DE72:DE84)</f>
        <v>2383.48</v>
      </c>
    </row>
    <row r="72" spans="1:110" hidden="1">
      <c r="A72" s="47"/>
      <c r="B72" s="187" t="s">
        <v>94</v>
      </c>
      <c r="C72" s="97" t="s">
        <v>54</v>
      </c>
      <c r="D72" s="31">
        <v>37.5</v>
      </c>
      <c r="E72" s="31">
        <v>35</v>
      </c>
      <c r="F72" s="31">
        <v>35</v>
      </c>
      <c r="G72" s="31">
        <v>35</v>
      </c>
      <c r="H72" s="134"/>
      <c r="I72" s="134"/>
      <c r="J72" s="134"/>
      <c r="K72" s="134"/>
      <c r="L72" s="134"/>
      <c r="M72" s="134">
        <v>0.8</v>
      </c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51"/>
      <c r="Y72" s="55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51"/>
      <c r="AK72" s="56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51"/>
      <c r="AW72" s="56"/>
      <c r="AX72" s="179">
        <f t="shared" si="32"/>
        <v>17.5</v>
      </c>
      <c r="AY72" s="31"/>
      <c r="AZ72" s="184"/>
      <c r="BA72" s="62">
        <v>8.39</v>
      </c>
      <c r="BB72" s="62"/>
      <c r="BC72" s="62">
        <v>5.79</v>
      </c>
      <c r="BD72" s="62"/>
      <c r="BE72" s="110">
        <v>1.82</v>
      </c>
      <c r="BF72" s="109"/>
      <c r="BG72" s="62"/>
      <c r="BH72" s="62"/>
      <c r="BI72" s="110"/>
      <c r="BJ72" s="426">
        <f t="shared" si="16"/>
        <v>8.39</v>
      </c>
      <c r="BK72" s="46"/>
      <c r="BL72" s="428"/>
      <c r="BM72" s="61"/>
      <c r="BN72" s="399"/>
      <c r="BO72" s="63"/>
      <c r="BP72" s="64"/>
      <c r="BQ72" s="61"/>
      <c r="BR72" s="479"/>
      <c r="BS72" s="66"/>
      <c r="BT72" s="64"/>
      <c r="BU72" s="61"/>
      <c r="BV72" s="479"/>
      <c r="BW72" s="66"/>
      <c r="BX72" s="431"/>
      <c r="BY72" s="68"/>
      <c r="BZ72" s="69"/>
      <c r="CA72" s="61"/>
      <c r="CB72" s="71"/>
      <c r="CC72" s="72"/>
      <c r="CD72" s="434"/>
      <c r="CE72" s="62"/>
      <c r="CF72" s="73"/>
      <c r="CG72" s="74"/>
      <c r="CH72" s="74"/>
      <c r="CI72" s="74"/>
      <c r="CJ72" s="74"/>
      <c r="CK72" s="74"/>
      <c r="CL72" s="74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31">
        <v>35</v>
      </c>
      <c r="DB72" s="31">
        <v>35</v>
      </c>
      <c r="DC72" s="31">
        <v>35</v>
      </c>
      <c r="DD72" s="31">
        <v>24</v>
      </c>
      <c r="DE72" s="31">
        <v>35</v>
      </c>
    </row>
    <row r="73" spans="1:110" hidden="1">
      <c r="A73" s="47"/>
      <c r="B73" s="187" t="s">
        <v>220</v>
      </c>
      <c r="C73" s="97" t="s">
        <v>54</v>
      </c>
      <c r="D73" s="31"/>
      <c r="E73" s="31">
        <v>7.8</v>
      </c>
      <c r="F73" s="31">
        <v>7.8</v>
      </c>
      <c r="G73" s="31">
        <v>7.8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51"/>
      <c r="Y73" s="55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51"/>
      <c r="AK73" s="56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51"/>
      <c r="AW73" s="56"/>
      <c r="AX73" s="179">
        <f t="shared" si="32"/>
        <v>3.9</v>
      </c>
      <c r="AY73" s="31">
        <v>11.7</v>
      </c>
      <c r="AZ73" s="184"/>
      <c r="BA73" s="62"/>
      <c r="BB73" s="62"/>
      <c r="BC73" s="62"/>
      <c r="BD73" s="62"/>
      <c r="BE73" s="110"/>
      <c r="BF73" s="109"/>
      <c r="BG73" s="62">
        <v>5.85</v>
      </c>
      <c r="BH73" s="62"/>
      <c r="BI73" s="110"/>
      <c r="BJ73" s="426"/>
      <c r="BK73" s="46"/>
      <c r="BL73" s="428"/>
      <c r="BM73" s="61"/>
      <c r="BN73" s="399"/>
      <c r="BO73" s="63"/>
      <c r="BP73" s="64"/>
      <c r="BQ73" s="61"/>
      <c r="BR73" s="479"/>
      <c r="BS73" s="66"/>
      <c r="BT73" s="64"/>
      <c r="BU73" s="61"/>
      <c r="BV73" s="479"/>
      <c r="BW73" s="66"/>
      <c r="BX73" s="431"/>
      <c r="BY73" s="68"/>
      <c r="BZ73" s="69"/>
      <c r="CA73" s="61"/>
      <c r="CB73" s="71"/>
      <c r="CC73" s="72"/>
      <c r="CD73" s="434"/>
      <c r="CE73" s="62"/>
      <c r="CF73" s="73"/>
      <c r="CG73" s="74"/>
      <c r="CH73" s="74"/>
      <c r="CI73" s="74"/>
      <c r="CJ73" s="74"/>
      <c r="CK73" s="74"/>
      <c r="CL73" s="74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31">
        <v>7.8</v>
      </c>
      <c r="DB73" s="31">
        <v>12</v>
      </c>
      <c r="DC73" s="31">
        <v>12</v>
      </c>
      <c r="DD73" s="31">
        <v>21.6</v>
      </c>
      <c r="DE73" s="31">
        <v>12</v>
      </c>
    </row>
    <row r="74" spans="1:110" hidden="1">
      <c r="A74" s="177"/>
      <c r="B74" s="187" t="s">
        <v>16</v>
      </c>
      <c r="C74" s="97" t="s">
        <v>54</v>
      </c>
      <c r="D74" s="31">
        <v>1885.92</v>
      </c>
      <c r="E74" s="31">
        <v>1804.84</v>
      </c>
      <c r="F74" s="31">
        <f>1804.84+60</f>
        <v>1864.84</v>
      </c>
      <c r="G74" s="31">
        <f>1804.84+60</f>
        <v>1864.84</v>
      </c>
      <c r="H74" s="134">
        <v>750</v>
      </c>
      <c r="I74" s="134">
        <v>1178.55</v>
      </c>
      <c r="J74" s="134">
        <v>306.42</v>
      </c>
      <c r="K74" s="134">
        <v>872.13</v>
      </c>
      <c r="L74" s="134">
        <f>G74/12</f>
        <v>155.40333333333334</v>
      </c>
      <c r="M74" s="134">
        <v>53.59</v>
      </c>
      <c r="N74" s="134">
        <f>H74/12</f>
        <v>62.5</v>
      </c>
      <c r="O74" s="134"/>
      <c r="P74" s="134"/>
      <c r="Q74" s="134"/>
      <c r="R74" s="134">
        <f>J74/12</f>
        <v>25.535</v>
      </c>
      <c r="S74" s="134"/>
      <c r="T74" s="134">
        <f>K74/12</f>
        <v>72.677499999999995</v>
      </c>
      <c r="U74" s="134"/>
      <c r="V74" s="134"/>
      <c r="W74" s="134"/>
      <c r="X74" s="51">
        <f>O74-N74</f>
        <v>-62.5</v>
      </c>
      <c r="Y74" s="55">
        <f>O74/N74</f>
        <v>0</v>
      </c>
      <c r="Z74" s="134">
        <v>160.71</v>
      </c>
      <c r="AA74" s="134">
        <v>97.19</v>
      </c>
      <c r="AB74" s="134">
        <v>62.5</v>
      </c>
      <c r="AC74" s="134"/>
      <c r="AD74" s="134">
        <v>25.535</v>
      </c>
      <c r="AE74" s="134"/>
      <c r="AF74" s="134">
        <v>72.680000000000007</v>
      </c>
      <c r="AG74" s="134"/>
      <c r="AH74" s="134"/>
      <c r="AI74" s="134"/>
      <c r="AJ74" s="51">
        <f>AC74-AB74</f>
        <v>-62.5</v>
      </c>
      <c r="AK74" s="56">
        <f>AC74/AB74</f>
        <v>0</v>
      </c>
      <c r="AL74" s="134">
        <v>160.71</v>
      </c>
      <c r="AM74" s="134">
        <v>97.19</v>
      </c>
      <c r="AN74" s="134">
        <v>62.5</v>
      </c>
      <c r="AO74" s="134"/>
      <c r="AP74" s="134">
        <v>25.535</v>
      </c>
      <c r="AQ74" s="134"/>
      <c r="AR74" s="134">
        <v>72.680000000000007</v>
      </c>
      <c r="AS74" s="134"/>
      <c r="AT74" s="134"/>
      <c r="AU74" s="134"/>
      <c r="AV74" s="51">
        <f>AO74-AN74</f>
        <v>-62.5</v>
      </c>
      <c r="AW74" s="56">
        <f>AO74/AN74</f>
        <v>0</v>
      </c>
      <c r="AX74" s="179">
        <f t="shared" si="32"/>
        <v>932.42</v>
      </c>
      <c r="AY74" s="31">
        <v>1509.01</v>
      </c>
      <c r="AZ74" s="109"/>
      <c r="BA74" s="62">
        <v>1088.3499999999999</v>
      </c>
      <c r="BB74" s="62"/>
      <c r="BC74" s="62">
        <v>351.41</v>
      </c>
      <c r="BD74" s="62"/>
      <c r="BE74" s="110">
        <v>262.92</v>
      </c>
      <c r="BF74" s="109">
        <v>38.39</v>
      </c>
      <c r="BG74" s="62"/>
      <c r="BH74" s="62"/>
      <c r="BI74" s="110"/>
      <c r="BJ74" s="426">
        <f t="shared" si="16"/>
        <v>1088.3499999999999</v>
      </c>
      <c r="BK74" s="46" t="e">
        <f>BA74/AZ74</f>
        <v>#DIV/0!</v>
      </c>
      <c r="BL74" s="428"/>
      <c r="BM74" s="61">
        <v>97.1935</v>
      </c>
      <c r="BN74" s="62"/>
      <c r="BO74" s="470"/>
      <c r="BP74" s="64"/>
      <c r="BQ74" s="61"/>
      <c r="BR74" s="65"/>
      <c r="BS74" s="66"/>
      <c r="BT74" s="64"/>
      <c r="BU74" s="61"/>
      <c r="BV74" s="65"/>
      <c r="BW74" s="66"/>
      <c r="BX74" s="431"/>
      <c r="BY74" s="68"/>
      <c r="BZ74" s="69">
        <f>M74+BM74+BQ74+BU74</f>
        <v>150.7835</v>
      </c>
      <c r="CA74" s="70"/>
      <c r="CB74" s="71"/>
      <c r="CC74" s="72">
        <f>BZ74-E74</f>
        <v>-1654.0564999999999</v>
      </c>
      <c r="CD74" s="434">
        <f>BZ74-CE74</f>
        <v>130.86349999999999</v>
      </c>
      <c r="CE74" s="62">
        <v>19.920000000000002</v>
      </c>
      <c r="CF74" s="73"/>
      <c r="CG74" s="74"/>
      <c r="CH74" s="74"/>
      <c r="CI74" s="74"/>
      <c r="CJ74" s="74"/>
      <c r="CK74" s="74"/>
      <c r="CL74" s="74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31">
        <v>1804.84</v>
      </c>
      <c r="DB74" s="31">
        <f>1804.84+60-8.4</f>
        <v>1856.4399999999998</v>
      </c>
      <c r="DC74" s="31">
        <f>1804.84+60</f>
        <v>1864.84</v>
      </c>
      <c r="DD74" s="31">
        <v>1800.63</v>
      </c>
      <c r="DE74" s="31">
        <f>1804.84+60</f>
        <v>1864.84</v>
      </c>
    </row>
    <row r="75" spans="1:110" hidden="1">
      <c r="A75" s="177"/>
      <c r="B75" s="187" t="s">
        <v>93</v>
      </c>
      <c r="C75" s="49" t="s">
        <v>54</v>
      </c>
      <c r="D75" s="31">
        <v>7.38</v>
      </c>
      <c r="E75" s="31"/>
      <c r="F75" s="31"/>
      <c r="G75" s="31"/>
      <c r="H75" s="134"/>
      <c r="I75" s="134"/>
      <c r="J75" s="134"/>
      <c r="K75" s="134"/>
      <c r="L75" s="134"/>
      <c r="M75" s="134">
        <v>1.04</v>
      </c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51"/>
      <c r="Y75" s="55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51"/>
      <c r="AK75" s="56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51"/>
      <c r="AW75" s="56"/>
      <c r="AX75" s="179">
        <f t="shared" si="32"/>
        <v>0</v>
      </c>
      <c r="AY75" s="31"/>
      <c r="AZ75" s="184"/>
      <c r="BA75" s="62"/>
      <c r="BB75" s="62"/>
      <c r="BC75" s="62"/>
      <c r="BD75" s="62"/>
      <c r="BE75" s="110"/>
      <c r="BF75" s="109"/>
      <c r="BG75" s="62"/>
      <c r="BH75" s="62"/>
      <c r="BI75" s="110"/>
      <c r="BJ75" s="426">
        <f>BA75-AZ75</f>
        <v>0</v>
      </c>
      <c r="BK75" s="46"/>
      <c r="BL75" s="428"/>
      <c r="BM75" s="61"/>
      <c r="BN75" s="62"/>
      <c r="BO75" s="470"/>
      <c r="BP75" s="64"/>
      <c r="BQ75" s="61"/>
      <c r="BR75" s="65"/>
      <c r="BS75" s="66"/>
      <c r="BT75" s="64"/>
      <c r="BU75" s="61"/>
      <c r="BV75" s="65"/>
      <c r="BW75" s="66"/>
      <c r="BX75" s="431"/>
      <c r="BY75" s="68"/>
      <c r="BZ75" s="69"/>
      <c r="CA75" s="70"/>
      <c r="CB75" s="71"/>
      <c r="CC75" s="72"/>
      <c r="CD75" s="434"/>
      <c r="CE75" s="62"/>
      <c r="CF75" s="73"/>
      <c r="CG75" s="74"/>
      <c r="CH75" s="74"/>
      <c r="CI75" s="74"/>
      <c r="CJ75" s="74"/>
      <c r="CK75" s="74"/>
      <c r="CL75" s="74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31"/>
      <c r="DB75" s="31"/>
      <c r="DC75" s="31"/>
      <c r="DD75" s="31"/>
      <c r="DE75" s="31"/>
    </row>
    <row r="76" spans="1:110" hidden="1">
      <c r="A76" s="177"/>
      <c r="B76" s="187" t="s">
        <v>13</v>
      </c>
      <c r="C76" s="97" t="s">
        <v>54</v>
      </c>
      <c r="D76" s="31">
        <v>133.19999999999999</v>
      </c>
      <c r="E76" s="31">
        <v>159.84</v>
      </c>
      <c r="F76" s="31">
        <v>159.84</v>
      </c>
      <c r="G76" s="31">
        <v>159.84</v>
      </c>
      <c r="H76" s="134"/>
      <c r="I76" s="134"/>
      <c r="J76" s="134"/>
      <c r="K76" s="134"/>
      <c r="L76" s="134"/>
      <c r="M76" s="134">
        <v>7.3</v>
      </c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51"/>
      <c r="Y76" s="55"/>
      <c r="Z76" s="134"/>
      <c r="AA76" s="134">
        <v>4.58</v>
      </c>
      <c r="AB76" s="134"/>
      <c r="AC76" s="134"/>
      <c r="AD76" s="134"/>
      <c r="AE76" s="134"/>
      <c r="AF76" s="134"/>
      <c r="AG76" s="134"/>
      <c r="AH76" s="134"/>
      <c r="AI76" s="134"/>
      <c r="AJ76" s="51"/>
      <c r="AK76" s="56"/>
      <c r="AL76" s="134"/>
      <c r="AM76" s="134">
        <v>4.58</v>
      </c>
      <c r="AN76" s="134"/>
      <c r="AO76" s="134"/>
      <c r="AP76" s="134"/>
      <c r="AQ76" s="134"/>
      <c r="AR76" s="134"/>
      <c r="AS76" s="134"/>
      <c r="AT76" s="134"/>
      <c r="AU76" s="134"/>
      <c r="AV76" s="51"/>
      <c r="AW76" s="56"/>
      <c r="AX76" s="179">
        <f t="shared" si="32"/>
        <v>79.92</v>
      </c>
      <c r="AY76" s="31">
        <v>106.76</v>
      </c>
      <c r="AZ76" s="184"/>
      <c r="BA76" s="62">
        <v>88.3</v>
      </c>
      <c r="BB76" s="62"/>
      <c r="BC76" s="62">
        <v>18.309999999999999</v>
      </c>
      <c r="BD76" s="62"/>
      <c r="BE76" s="110">
        <v>49.2</v>
      </c>
      <c r="BF76" s="109">
        <v>5.13</v>
      </c>
      <c r="BG76" s="62"/>
      <c r="BH76" s="62"/>
      <c r="BI76" s="110"/>
      <c r="BJ76" s="426">
        <f>BA76-AZ76</f>
        <v>88.3</v>
      </c>
      <c r="BK76" s="46"/>
      <c r="BL76" s="428"/>
      <c r="BM76" s="61">
        <v>4.5785</v>
      </c>
      <c r="BN76" s="62"/>
      <c r="BO76" s="470"/>
      <c r="BP76" s="64"/>
      <c r="BQ76" s="61"/>
      <c r="BR76" s="65"/>
      <c r="BS76" s="66"/>
      <c r="BT76" s="64"/>
      <c r="BU76" s="61"/>
      <c r="BV76" s="65"/>
      <c r="BW76" s="66"/>
      <c r="BX76" s="431"/>
      <c r="BY76" s="68"/>
      <c r="BZ76" s="69">
        <f>M76+BM76+BQ76+BU76</f>
        <v>11.878499999999999</v>
      </c>
      <c r="CA76" s="70"/>
      <c r="CB76" s="71"/>
      <c r="CC76" s="72">
        <f>BZ76-E76</f>
        <v>-147.9615</v>
      </c>
      <c r="CD76" s="434">
        <v>163.44999999999999</v>
      </c>
      <c r="CE76" s="62"/>
      <c r="CF76" s="73"/>
      <c r="CG76" s="74"/>
      <c r="CH76" s="74"/>
      <c r="CI76" s="74"/>
      <c r="CJ76" s="74"/>
      <c r="CK76" s="74"/>
      <c r="CL76" s="74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31">
        <v>159.84</v>
      </c>
      <c r="DB76" s="31">
        <v>159.84</v>
      </c>
      <c r="DC76" s="31">
        <v>159.84</v>
      </c>
      <c r="DD76" s="31">
        <v>103.79</v>
      </c>
      <c r="DE76" s="31">
        <v>159.84</v>
      </c>
    </row>
    <row r="77" spans="1:110" hidden="1">
      <c r="A77" s="177"/>
      <c r="B77" s="187" t="s">
        <v>249</v>
      </c>
      <c r="C77" s="97" t="s">
        <v>54</v>
      </c>
      <c r="D77" s="31"/>
      <c r="E77" s="31">
        <v>9.8000000000000007</v>
      </c>
      <c r="F77" s="31">
        <v>9.8000000000000007</v>
      </c>
      <c r="G77" s="31">
        <v>9.8000000000000007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51"/>
      <c r="Y77" s="55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51"/>
      <c r="AK77" s="56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51"/>
      <c r="AW77" s="56"/>
      <c r="AX77" s="179"/>
      <c r="AY77" s="31"/>
      <c r="AZ77" s="184"/>
      <c r="BA77" s="62"/>
      <c r="BB77" s="62"/>
      <c r="BC77" s="62"/>
      <c r="BD77" s="62"/>
      <c r="BE77" s="110"/>
      <c r="BF77" s="109"/>
      <c r="BG77" s="62"/>
      <c r="BH77" s="62"/>
      <c r="BI77" s="110"/>
      <c r="BJ77" s="426"/>
      <c r="BK77" s="46"/>
      <c r="BL77" s="428"/>
      <c r="BM77" s="61"/>
      <c r="BN77" s="62"/>
      <c r="BO77" s="470"/>
      <c r="BP77" s="64"/>
      <c r="BQ77" s="61"/>
      <c r="BR77" s="65"/>
      <c r="BS77" s="66"/>
      <c r="BT77" s="64"/>
      <c r="BU77" s="61"/>
      <c r="BV77" s="65"/>
      <c r="BW77" s="66"/>
      <c r="BX77" s="431"/>
      <c r="BY77" s="68"/>
      <c r="BZ77" s="69"/>
      <c r="CA77" s="70"/>
      <c r="CB77" s="71"/>
      <c r="CC77" s="72"/>
      <c r="CD77" s="434"/>
      <c r="CE77" s="62"/>
      <c r="CF77" s="73"/>
      <c r="CG77" s="74"/>
      <c r="CH77" s="74"/>
      <c r="CI77" s="74"/>
      <c r="CJ77" s="74"/>
      <c r="CK77" s="74"/>
      <c r="CL77" s="74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31">
        <v>9.8000000000000007</v>
      </c>
      <c r="DB77" s="31">
        <v>9.8000000000000007</v>
      </c>
      <c r="DC77" s="31">
        <v>9.8000000000000007</v>
      </c>
      <c r="DD77" s="31"/>
      <c r="DE77" s="31">
        <v>9.8000000000000007</v>
      </c>
    </row>
    <row r="78" spans="1:110" hidden="1">
      <c r="A78" s="177"/>
      <c r="B78" s="187" t="s">
        <v>58</v>
      </c>
      <c r="C78" s="97" t="s">
        <v>54</v>
      </c>
      <c r="D78" s="31">
        <v>14.2</v>
      </c>
      <c r="E78" s="31"/>
      <c r="F78" s="31"/>
      <c r="G78" s="31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51"/>
      <c r="Y78" s="55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51"/>
      <c r="AK78" s="56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51"/>
      <c r="AW78" s="56"/>
      <c r="AX78" s="179">
        <f t="shared" si="32"/>
        <v>0</v>
      </c>
      <c r="AY78" s="31"/>
      <c r="AZ78" s="184"/>
      <c r="BA78" s="62"/>
      <c r="BB78" s="62"/>
      <c r="BC78" s="62"/>
      <c r="BD78" s="62"/>
      <c r="BE78" s="110"/>
      <c r="BF78" s="109"/>
      <c r="BG78" s="62"/>
      <c r="BH78" s="62"/>
      <c r="BI78" s="110"/>
      <c r="BJ78" s="426">
        <f>BA78-AZ78</f>
        <v>0</v>
      </c>
      <c r="BK78" s="46"/>
      <c r="BL78" s="428"/>
      <c r="BM78" s="61"/>
      <c r="BN78" s="62"/>
      <c r="BO78" s="470"/>
      <c r="BP78" s="64"/>
      <c r="BQ78" s="61"/>
      <c r="BR78" s="65"/>
      <c r="BS78" s="66"/>
      <c r="BT78" s="64"/>
      <c r="BU78" s="61"/>
      <c r="BV78" s="65"/>
      <c r="BW78" s="66"/>
      <c r="BX78" s="431"/>
      <c r="BY78" s="68"/>
      <c r="BZ78" s="69">
        <f>M78+BM78+BQ78+BU78</f>
        <v>0</v>
      </c>
      <c r="CA78" s="70"/>
      <c r="CB78" s="71"/>
      <c r="CC78" s="72">
        <f>BZ78-E78</f>
        <v>0</v>
      </c>
      <c r="CD78" s="434">
        <v>3.6</v>
      </c>
      <c r="CE78" s="62"/>
      <c r="CF78" s="73"/>
      <c r="CG78" s="74"/>
      <c r="CH78" s="74"/>
      <c r="CI78" s="74"/>
      <c r="CJ78" s="74"/>
      <c r="CK78" s="74"/>
      <c r="CL78" s="74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31"/>
      <c r="DB78" s="31"/>
      <c r="DC78" s="31"/>
      <c r="DD78" s="31"/>
      <c r="DE78" s="31"/>
    </row>
    <row r="79" spans="1:110" hidden="1">
      <c r="A79" s="177"/>
      <c r="B79" s="187" t="s">
        <v>119</v>
      </c>
      <c r="C79" s="49" t="s">
        <v>54</v>
      </c>
      <c r="D79" s="31">
        <v>15.72</v>
      </c>
      <c r="E79" s="31"/>
      <c r="F79" s="31"/>
      <c r="G79" s="31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51"/>
      <c r="Y79" s="55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51"/>
      <c r="AK79" s="56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51"/>
      <c r="AW79" s="56"/>
      <c r="AX79" s="179">
        <f t="shared" si="32"/>
        <v>0</v>
      </c>
      <c r="AY79" s="31"/>
      <c r="AZ79" s="184"/>
      <c r="BA79" s="62">
        <v>8.82</v>
      </c>
      <c r="BB79" s="62"/>
      <c r="BC79" s="62"/>
      <c r="BD79" s="62"/>
      <c r="BE79" s="110"/>
      <c r="BF79" s="109"/>
      <c r="BG79" s="62"/>
      <c r="BH79" s="62"/>
      <c r="BI79" s="110"/>
      <c r="BJ79" s="426"/>
      <c r="BK79" s="46"/>
      <c r="BL79" s="428"/>
      <c r="BM79" s="61"/>
      <c r="BN79" s="62"/>
      <c r="BO79" s="470"/>
      <c r="BP79" s="64"/>
      <c r="BQ79" s="61"/>
      <c r="BR79" s="65"/>
      <c r="BS79" s="66"/>
      <c r="BT79" s="64"/>
      <c r="BU79" s="61"/>
      <c r="BV79" s="65"/>
      <c r="BW79" s="66"/>
      <c r="BX79" s="431"/>
      <c r="BY79" s="68"/>
      <c r="BZ79" s="69"/>
      <c r="CA79" s="70"/>
      <c r="CB79" s="71"/>
      <c r="CC79" s="72"/>
      <c r="CD79" s="434"/>
      <c r="CE79" s="62"/>
      <c r="CF79" s="73"/>
      <c r="CG79" s="74"/>
      <c r="CH79" s="74"/>
      <c r="CI79" s="74"/>
      <c r="CJ79" s="74"/>
      <c r="CK79" s="74"/>
      <c r="CL79" s="74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31"/>
      <c r="DB79" s="31"/>
      <c r="DC79" s="31"/>
      <c r="DD79" s="31"/>
      <c r="DE79" s="31"/>
    </row>
    <row r="80" spans="1:110" hidden="1">
      <c r="A80" s="177"/>
      <c r="B80" s="187" t="s">
        <v>64</v>
      </c>
      <c r="C80" s="49" t="s">
        <v>54</v>
      </c>
      <c r="D80" s="31">
        <v>20.420000000000002</v>
      </c>
      <c r="E80" s="31"/>
      <c r="F80" s="31"/>
      <c r="G80" s="31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51"/>
      <c r="Y80" s="55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51"/>
      <c r="AK80" s="56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51"/>
      <c r="AW80" s="56"/>
      <c r="AX80" s="179">
        <f t="shared" si="32"/>
        <v>0</v>
      </c>
      <c r="AY80" s="31"/>
      <c r="AZ80" s="184"/>
      <c r="BA80" s="62"/>
      <c r="BB80" s="62"/>
      <c r="BC80" s="62"/>
      <c r="BD80" s="62"/>
      <c r="BE80" s="110"/>
      <c r="BF80" s="109"/>
      <c r="BG80" s="62"/>
      <c r="BH80" s="62"/>
      <c r="BI80" s="110"/>
      <c r="BJ80" s="426"/>
      <c r="BK80" s="46"/>
      <c r="BL80" s="428"/>
      <c r="BM80" s="61"/>
      <c r="BN80" s="62"/>
      <c r="BO80" s="470"/>
      <c r="BP80" s="64"/>
      <c r="BQ80" s="61"/>
      <c r="BR80" s="65"/>
      <c r="BS80" s="66"/>
      <c r="BT80" s="64"/>
      <c r="BU80" s="61"/>
      <c r="BV80" s="65"/>
      <c r="BW80" s="66"/>
      <c r="BX80" s="431"/>
      <c r="BY80" s="68"/>
      <c r="BZ80" s="69"/>
      <c r="CA80" s="70"/>
      <c r="CB80" s="71"/>
      <c r="CC80" s="72"/>
      <c r="CD80" s="434"/>
      <c r="CE80" s="62"/>
      <c r="CF80" s="73"/>
      <c r="CG80" s="74"/>
      <c r="CH80" s="74"/>
      <c r="CI80" s="74"/>
      <c r="CJ80" s="74"/>
      <c r="CK80" s="74"/>
      <c r="CL80" s="74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31"/>
      <c r="DB80" s="31"/>
      <c r="DC80" s="31"/>
      <c r="DD80" s="31"/>
      <c r="DE80" s="31"/>
    </row>
    <row r="81" spans="1:110" hidden="1">
      <c r="A81" s="177"/>
      <c r="B81" s="187" t="s">
        <v>130</v>
      </c>
      <c r="C81" s="49" t="s">
        <v>54</v>
      </c>
      <c r="D81" s="31">
        <v>6.9</v>
      </c>
      <c r="E81" s="31">
        <v>6</v>
      </c>
      <c r="F81" s="31">
        <v>6</v>
      </c>
      <c r="G81" s="31">
        <v>6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51"/>
      <c r="Y81" s="55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51"/>
      <c r="AK81" s="56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51"/>
      <c r="AW81" s="56"/>
      <c r="AX81" s="179">
        <f t="shared" si="32"/>
        <v>3</v>
      </c>
      <c r="AY81" s="31">
        <v>9.4499999999999993</v>
      </c>
      <c r="AZ81" s="184"/>
      <c r="BA81" s="62">
        <v>2.0499999999999998</v>
      </c>
      <c r="BB81" s="62"/>
      <c r="BC81" s="62">
        <v>1.85</v>
      </c>
      <c r="BD81" s="62"/>
      <c r="BE81" s="110">
        <v>2.1</v>
      </c>
      <c r="BF81" s="109"/>
      <c r="BG81" s="62"/>
      <c r="BH81" s="62"/>
      <c r="BI81" s="110"/>
      <c r="BJ81" s="426"/>
      <c r="BK81" s="46"/>
      <c r="BL81" s="428"/>
      <c r="BM81" s="61"/>
      <c r="BN81" s="62"/>
      <c r="BO81" s="470"/>
      <c r="BP81" s="64"/>
      <c r="BQ81" s="61"/>
      <c r="BR81" s="65"/>
      <c r="BS81" s="66"/>
      <c r="BT81" s="64"/>
      <c r="BU81" s="61"/>
      <c r="BV81" s="65"/>
      <c r="BW81" s="66"/>
      <c r="BX81" s="431"/>
      <c r="BY81" s="68"/>
      <c r="BZ81" s="69"/>
      <c r="CA81" s="70"/>
      <c r="CB81" s="71"/>
      <c r="CC81" s="72"/>
      <c r="CD81" s="434"/>
      <c r="CE81" s="62"/>
      <c r="CF81" s="73"/>
      <c r="CG81" s="74"/>
      <c r="CH81" s="74"/>
      <c r="CI81" s="74"/>
      <c r="CJ81" s="74"/>
      <c r="CK81" s="74"/>
      <c r="CL81" s="74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31">
        <v>6</v>
      </c>
      <c r="DB81" s="31">
        <v>10.199999999999999</v>
      </c>
      <c r="DC81" s="31">
        <v>10.199999999999999</v>
      </c>
      <c r="DD81" s="31">
        <v>10.199999999999999</v>
      </c>
      <c r="DE81" s="31">
        <v>10.199999999999999</v>
      </c>
    </row>
    <row r="82" spans="1:110" hidden="1">
      <c r="A82" s="177"/>
      <c r="B82" s="187" t="s">
        <v>17</v>
      </c>
      <c r="C82" s="97" t="s">
        <v>54</v>
      </c>
      <c r="D82" s="31">
        <v>9.1999999999999993</v>
      </c>
      <c r="E82" s="31"/>
      <c r="F82" s="31"/>
      <c r="G82" s="31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51"/>
      <c r="Y82" s="55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51"/>
      <c r="AK82" s="56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51"/>
      <c r="AW82" s="56"/>
      <c r="AX82" s="179">
        <f t="shared" si="32"/>
        <v>0</v>
      </c>
      <c r="AY82" s="31"/>
      <c r="AZ82" s="184"/>
      <c r="BA82" s="62"/>
      <c r="BB82" s="62"/>
      <c r="BC82" s="62"/>
      <c r="BD82" s="62"/>
      <c r="BE82" s="110"/>
      <c r="BF82" s="109"/>
      <c r="BG82" s="62"/>
      <c r="BH82" s="62"/>
      <c r="BI82" s="110"/>
      <c r="BJ82" s="426">
        <f>BA82-AZ82</f>
        <v>0</v>
      </c>
      <c r="BK82" s="46"/>
      <c r="BL82" s="428"/>
      <c r="BM82" s="61"/>
      <c r="BN82" s="62"/>
      <c r="BO82" s="470"/>
      <c r="BP82" s="64"/>
      <c r="BQ82" s="61"/>
      <c r="BR82" s="65"/>
      <c r="BS82" s="66"/>
      <c r="BT82" s="64"/>
      <c r="BU82" s="61"/>
      <c r="BV82" s="65"/>
      <c r="BW82" s="66"/>
      <c r="BX82" s="431"/>
      <c r="BY82" s="68"/>
      <c r="BZ82" s="69">
        <f>M82+BM82+BQ82+BU82</f>
        <v>0</v>
      </c>
      <c r="CA82" s="70"/>
      <c r="CB82" s="71"/>
      <c r="CC82" s="72">
        <f>BZ82-E82</f>
        <v>0</v>
      </c>
      <c r="CD82" s="434">
        <v>8</v>
      </c>
      <c r="CE82" s="62"/>
      <c r="CF82" s="73"/>
      <c r="CG82" s="74"/>
      <c r="CH82" s="74"/>
      <c r="CI82" s="74"/>
      <c r="CJ82" s="74"/>
      <c r="CK82" s="74"/>
      <c r="CL82" s="74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31"/>
      <c r="DB82" s="31"/>
      <c r="DC82" s="31"/>
      <c r="DD82" s="31"/>
      <c r="DE82" s="31"/>
    </row>
    <row r="83" spans="1:110" hidden="1">
      <c r="A83" s="177"/>
      <c r="B83" s="187" t="s">
        <v>18</v>
      </c>
      <c r="C83" s="97" t="s">
        <v>54</v>
      </c>
      <c r="D83" s="31">
        <v>184</v>
      </c>
      <c r="E83" s="31">
        <v>239</v>
      </c>
      <c r="F83" s="31">
        <v>239</v>
      </c>
      <c r="G83" s="31">
        <v>239</v>
      </c>
      <c r="H83" s="134"/>
      <c r="I83" s="134"/>
      <c r="J83" s="134"/>
      <c r="K83" s="134"/>
      <c r="L83" s="134"/>
      <c r="M83" s="134">
        <v>3.31</v>
      </c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51"/>
      <c r="Y83" s="55"/>
      <c r="Z83" s="134"/>
      <c r="AA83" s="134">
        <v>20.5</v>
      </c>
      <c r="AB83" s="134"/>
      <c r="AC83" s="134"/>
      <c r="AD83" s="134"/>
      <c r="AE83" s="134"/>
      <c r="AF83" s="134"/>
      <c r="AG83" s="134"/>
      <c r="AH83" s="134"/>
      <c r="AI83" s="134"/>
      <c r="AJ83" s="51"/>
      <c r="AK83" s="56"/>
      <c r="AL83" s="134"/>
      <c r="AM83" s="134">
        <v>20.5</v>
      </c>
      <c r="AN83" s="134"/>
      <c r="AO83" s="134"/>
      <c r="AP83" s="134"/>
      <c r="AQ83" s="134"/>
      <c r="AR83" s="134"/>
      <c r="AS83" s="134"/>
      <c r="AT83" s="134"/>
      <c r="AU83" s="134"/>
      <c r="AV83" s="51"/>
      <c r="AW83" s="56"/>
      <c r="AX83" s="179">
        <f t="shared" si="32"/>
        <v>119.5</v>
      </c>
      <c r="AY83" s="31">
        <v>164.77</v>
      </c>
      <c r="AZ83" s="184"/>
      <c r="BA83" s="62">
        <v>46.64</v>
      </c>
      <c r="BB83" s="62"/>
      <c r="BC83" s="62">
        <v>57.72</v>
      </c>
      <c r="BD83" s="62"/>
      <c r="BE83" s="110">
        <v>121.09</v>
      </c>
      <c r="BF83" s="109">
        <v>34.72</v>
      </c>
      <c r="BG83" s="62"/>
      <c r="BH83" s="62"/>
      <c r="BI83" s="110"/>
      <c r="BJ83" s="426">
        <f>BA83-AZ83</f>
        <v>46.64</v>
      </c>
      <c r="BK83" s="46"/>
      <c r="BL83" s="428"/>
      <c r="BM83" s="61">
        <v>20.5</v>
      </c>
      <c r="BN83" s="62"/>
      <c r="BO83" s="470"/>
      <c r="BP83" s="64"/>
      <c r="BQ83" s="61"/>
      <c r="BR83" s="65"/>
      <c r="BS83" s="66"/>
      <c r="BT83" s="64"/>
      <c r="BU83" s="61"/>
      <c r="BV83" s="65"/>
      <c r="BW83" s="66"/>
      <c r="BX83" s="431"/>
      <c r="BY83" s="68"/>
      <c r="BZ83" s="69">
        <f>M83+BM83+BQ83+BU83</f>
        <v>23.81</v>
      </c>
      <c r="CA83" s="70"/>
      <c r="CB83" s="71"/>
      <c r="CC83" s="72">
        <f>BZ83-E83</f>
        <v>-215.19</v>
      </c>
      <c r="CD83" s="434">
        <v>87.35</v>
      </c>
      <c r="CE83" s="62"/>
      <c r="CF83" s="73"/>
      <c r="CG83" s="74"/>
      <c r="CH83" s="74"/>
      <c r="CI83" s="74"/>
      <c r="CJ83" s="74"/>
      <c r="CK83" s="74"/>
      <c r="CL83" s="74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31">
        <v>239</v>
      </c>
      <c r="DB83" s="31">
        <v>239</v>
      </c>
      <c r="DC83" s="31">
        <v>239</v>
      </c>
      <c r="DD83" s="31">
        <v>135.57</v>
      </c>
      <c r="DE83" s="31">
        <v>239</v>
      </c>
    </row>
    <row r="84" spans="1:110" hidden="1">
      <c r="A84" s="177"/>
      <c r="B84" s="187" t="s">
        <v>19</v>
      </c>
      <c r="C84" s="97" t="s">
        <v>54</v>
      </c>
      <c r="D84" s="31">
        <v>130</v>
      </c>
      <c r="E84" s="31">
        <v>52.8</v>
      </c>
      <c r="F84" s="31">
        <v>52.8</v>
      </c>
      <c r="G84" s="31">
        <v>52.8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54"/>
      <c r="Y84" s="55"/>
      <c r="Z84" s="134"/>
      <c r="AA84" s="134">
        <v>4.2699999999999996</v>
      </c>
      <c r="AB84" s="134"/>
      <c r="AC84" s="134"/>
      <c r="AD84" s="134"/>
      <c r="AE84" s="134"/>
      <c r="AF84" s="134"/>
      <c r="AG84" s="134"/>
      <c r="AH84" s="134"/>
      <c r="AI84" s="134"/>
      <c r="AJ84" s="54"/>
      <c r="AK84" s="56"/>
      <c r="AL84" s="134"/>
      <c r="AM84" s="134">
        <v>4.2699999999999996</v>
      </c>
      <c r="AN84" s="134"/>
      <c r="AO84" s="134"/>
      <c r="AP84" s="134"/>
      <c r="AQ84" s="134"/>
      <c r="AR84" s="134"/>
      <c r="AS84" s="134"/>
      <c r="AT84" s="134"/>
      <c r="AU84" s="134"/>
      <c r="AV84" s="54"/>
      <c r="AW84" s="56"/>
      <c r="AX84" s="179">
        <f t="shared" si="32"/>
        <v>26.4</v>
      </c>
      <c r="AY84" s="31">
        <v>127.96</v>
      </c>
      <c r="AZ84" s="184"/>
      <c r="BA84" s="62">
        <v>22.51</v>
      </c>
      <c r="BB84" s="62"/>
      <c r="BC84" s="62">
        <v>15.44</v>
      </c>
      <c r="BD84" s="62"/>
      <c r="BE84" s="110">
        <v>11.85</v>
      </c>
      <c r="BF84" s="109">
        <v>4.1399999999999997</v>
      </c>
      <c r="BG84" s="62"/>
      <c r="BH84" s="62"/>
      <c r="BI84" s="110"/>
      <c r="BJ84" s="426">
        <f t="shared" ref="BJ84:BJ89" si="41">BA84-AZ84</f>
        <v>22.51</v>
      </c>
      <c r="BK84" s="46"/>
      <c r="BL84" s="428"/>
      <c r="BM84" s="61">
        <v>4.2670000000000003</v>
      </c>
      <c r="BN84" s="62"/>
      <c r="BO84" s="470"/>
      <c r="BP84" s="64"/>
      <c r="BQ84" s="61"/>
      <c r="BR84" s="65"/>
      <c r="BS84" s="66"/>
      <c r="BT84" s="64"/>
      <c r="BU84" s="61"/>
      <c r="BV84" s="65"/>
      <c r="BW84" s="66"/>
      <c r="BX84" s="431"/>
      <c r="BY84" s="68"/>
      <c r="BZ84" s="69">
        <f t="shared" ref="BZ84:BZ89" si="42">M84+BM84+BQ84+BU84</f>
        <v>4.2670000000000003</v>
      </c>
      <c r="CA84" s="70"/>
      <c r="CB84" s="71"/>
      <c r="CC84" s="72">
        <f t="shared" ref="CC84:CC89" si="43">BZ84-E84</f>
        <v>-48.532999999999994</v>
      </c>
      <c r="CD84" s="434">
        <v>125.95</v>
      </c>
      <c r="CE84" s="62"/>
      <c r="CF84" s="73"/>
      <c r="CG84" s="74"/>
      <c r="CH84" s="74"/>
      <c r="CI84" s="74"/>
      <c r="CJ84" s="74"/>
      <c r="CK84" s="74"/>
      <c r="CL84" s="74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31">
        <v>52.8</v>
      </c>
      <c r="DB84" s="31">
        <v>52.8</v>
      </c>
      <c r="DC84" s="31">
        <v>52.8</v>
      </c>
      <c r="DD84" s="31">
        <v>98.16</v>
      </c>
      <c r="DE84" s="31">
        <v>52.8</v>
      </c>
    </row>
    <row r="85" spans="1:110">
      <c r="A85" s="177" t="s">
        <v>256</v>
      </c>
      <c r="B85" s="178" t="s">
        <v>22</v>
      </c>
      <c r="C85" s="266" t="s">
        <v>54</v>
      </c>
      <c r="D85" s="193">
        <f>SUM(D86:D90)</f>
        <v>4499.66</v>
      </c>
      <c r="E85" s="193">
        <f>SUM(E86:E90)</f>
        <v>4577.99</v>
      </c>
      <c r="F85" s="193">
        <f>SUM(F86:F90)</f>
        <v>4725.3900000000003</v>
      </c>
      <c r="G85" s="193">
        <f>SUM(G86:G90)</f>
        <v>4725.3900000000003</v>
      </c>
      <c r="H85" s="180">
        <f t="shared" ref="H85:M85" si="44">SUM(H86:H90)</f>
        <v>2478.41</v>
      </c>
      <c r="I85" s="180">
        <f t="shared" si="44"/>
        <v>1962.52</v>
      </c>
      <c r="J85" s="180">
        <f t="shared" si="44"/>
        <v>327.96000000000004</v>
      </c>
      <c r="K85" s="180">
        <f t="shared" si="44"/>
        <v>1634.56</v>
      </c>
      <c r="L85" s="180">
        <f t="shared" si="44"/>
        <v>393.78249999999997</v>
      </c>
      <c r="M85" s="180">
        <f t="shared" si="44"/>
        <v>253.91000000000003</v>
      </c>
      <c r="N85" s="180">
        <v>179.03</v>
      </c>
      <c r="O85" s="180">
        <v>157.88</v>
      </c>
      <c r="P85" s="180">
        <v>35.97</v>
      </c>
      <c r="Q85" s="180">
        <v>43.09</v>
      </c>
      <c r="R85" s="180">
        <v>109.42</v>
      </c>
      <c r="S85" s="180">
        <v>65.94</v>
      </c>
      <c r="T85" s="180">
        <f>SUM(T86:T90)</f>
        <v>136.21333333333331</v>
      </c>
      <c r="U85" s="180">
        <f>SUM(U86:U90)</f>
        <v>0</v>
      </c>
      <c r="V85" s="180">
        <v>5.72</v>
      </c>
      <c r="W85" s="180"/>
      <c r="X85" s="181">
        <f>O85-N85</f>
        <v>-21.150000000000006</v>
      </c>
      <c r="Y85" s="191">
        <f>O85/N85</f>
        <v>0.88186337485337651</v>
      </c>
      <c r="Z85" s="180">
        <f t="shared" ref="Z85:AH85" si="45">SUM(Z86:Z90)</f>
        <v>311.64</v>
      </c>
      <c r="AA85" s="180">
        <f t="shared" si="45"/>
        <v>251.14000000000001</v>
      </c>
      <c r="AB85" s="180">
        <f t="shared" si="45"/>
        <v>206.53</v>
      </c>
      <c r="AC85" s="180">
        <f t="shared" si="45"/>
        <v>0</v>
      </c>
      <c r="AD85" s="180">
        <f t="shared" si="45"/>
        <v>27.33</v>
      </c>
      <c r="AE85" s="180">
        <f t="shared" si="45"/>
        <v>0</v>
      </c>
      <c r="AF85" s="180">
        <f t="shared" si="45"/>
        <v>77.783299999999997</v>
      </c>
      <c r="AG85" s="180">
        <f t="shared" si="45"/>
        <v>0</v>
      </c>
      <c r="AH85" s="180">
        <f t="shared" si="45"/>
        <v>0</v>
      </c>
      <c r="AI85" s="180"/>
      <c r="AJ85" s="181">
        <f>AC85-AB85</f>
        <v>-206.53</v>
      </c>
      <c r="AK85" s="192">
        <f>AC85/AB85</f>
        <v>0</v>
      </c>
      <c r="AL85" s="180">
        <f t="shared" ref="AL85:AT85" si="46">SUM(AL86:AL90)</f>
        <v>311.64</v>
      </c>
      <c r="AM85" s="180">
        <f t="shared" si="46"/>
        <v>251.14000000000001</v>
      </c>
      <c r="AN85" s="180">
        <f t="shared" si="46"/>
        <v>206.53</v>
      </c>
      <c r="AO85" s="180">
        <f t="shared" si="46"/>
        <v>0</v>
      </c>
      <c r="AP85" s="180">
        <f t="shared" si="46"/>
        <v>27.33</v>
      </c>
      <c r="AQ85" s="180">
        <f t="shared" si="46"/>
        <v>0</v>
      </c>
      <c r="AR85" s="180">
        <f t="shared" si="46"/>
        <v>77.783299999999997</v>
      </c>
      <c r="AS85" s="180">
        <f t="shared" si="46"/>
        <v>0</v>
      </c>
      <c r="AT85" s="180">
        <f t="shared" si="46"/>
        <v>0</v>
      </c>
      <c r="AU85" s="180"/>
      <c r="AV85" s="181">
        <f>AO85-AN85</f>
        <v>-206.53</v>
      </c>
      <c r="AW85" s="192">
        <f>AO85/AN85</f>
        <v>0</v>
      </c>
      <c r="AX85" s="179">
        <f t="shared" si="32"/>
        <v>2362.6950000000002</v>
      </c>
      <c r="AY85" s="179">
        <f>SUM(AY86:AY90)</f>
        <v>4255.38</v>
      </c>
      <c r="AZ85" s="184">
        <f t="shared" ref="AZ85:BG85" si="47">SUM(AZ86:AZ90)</f>
        <v>0</v>
      </c>
      <c r="BA85" s="185">
        <f>SUM(BA86:BA90)</f>
        <v>2422.59</v>
      </c>
      <c r="BB85" s="185">
        <f t="shared" si="47"/>
        <v>0</v>
      </c>
      <c r="BC85" s="185">
        <f t="shared" si="47"/>
        <v>1801.0700000000002</v>
      </c>
      <c r="BD85" s="185">
        <f t="shared" si="47"/>
        <v>0</v>
      </c>
      <c r="BE85" s="186">
        <f t="shared" si="47"/>
        <v>221.00000000000003</v>
      </c>
      <c r="BF85" s="184">
        <f t="shared" si="47"/>
        <v>71.64</v>
      </c>
      <c r="BG85" s="185">
        <f t="shared" si="47"/>
        <v>0</v>
      </c>
      <c r="BH85" s="185"/>
      <c r="BI85" s="186"/>
      <c r="BJ85" s="426">
        <f t="shared" si="41"/>
        <v>2422.59</v>
      </c>
      <c r="BK85" s="481" t="e">
        <f>BA85/AZ85</f>
        <v>#DIV/0!</v>
      </c>
      <c r="BL85" s="468"/>
      <c r="BM85" s="469">
        <f>SUM(BM86:BM90)</f>
        <v>251.13993000000002</v>
      </c>
      <c r="BN85" s="264"/>
      <c r="BO85" s="470"/>
      <c r="BP85" s="471"/>
      <c r="BQ85" s="469"/>
      <c r="BR85" s="472"/>
      <c r="BS85" s="473"/>
      <c r="BT85" s="471"/>
      <c r="BU85" s="469"/>
      <c r="BV85" s="472"/>
      <c r="BW85" s="473"/>
      <c r="BX85" s="474">
        <v>3275.33</v>
      </c>
      <c r="BY85" s="475">
        <f>F85</f>
        <v>4725.3900000000003</v>
      </c>
      <c r="BZ85" s="320">
        <f t="shared" si="42"/>
        <v>505.04993000000002</v>
      </c>
      <c r="CA85" s="469">
        <f>BZ85-BY85</f>
        <v>-4220.3400700000002</v>
      </c>
      <c r="CB85" s="476">
        <f>BZ85/BY85</f>
        <v>0.10688005222849331</v>
      </c>
      <c r="CC85" s="307">
        <f t="shared" si="43"/>
        <v>-4072.9400699999997</v>
      </c>
      <c r="CD85" s="477">
        <f>SUM(CD86:CD90)</f>
        <v>698.12035000000014</v>
      </c>
      <c r="CE85" s="185">
        <f>SUM(CE86:CE90)</f>
        <v>136.19999999999999</v>
      </c>
      <c r="CF85" s="478"/>
      <c r="CG85" s="465"/>
      <c r="CH85" s="465"/>
      <c r="CI85" s="465"/>
      <c r="CJ85" s="465"/>
      <c r="CK85" s="465"/>
      <c r="CL85" s="465"/>
      <c r="CM85" s="466"/>
      <c r="CN85" s="466"/>
      <c r="CO85" s="466"/>
      <c r="CP85" s="466"/>
      <c r="CQ85" s="466"/>
      <c r="CR85" s="466"/>
      <c r="CS85" s="466"/>
      <c r="CT85" s="466"/>
      <c r="CU85" s="466"/>
      <c r="CV85" s="466"/>
      <c r="CW85" s="466"/>
      <c r="CX85" s="466"/>
      <c r="CY85" s="466"/>
      <c r="CZ85" s="466"/>
      <c r="DA85" s="179">
        <f>SUM(DA86:DA90)</f>
        <v>4577.99</v>
      </c>
      <c r="DB85" s="179">
        <f>SUM(DB86:DB90)</f>
        <v>4725.3900000000003</v>
      </c>
      <c r="DC85" s="193">
        <f>SUM(DC86:DC90)</f>
        <v>4725.3900000000003</v>
      </c>
      <c r="DD85" s="193">
        <f>SUM(DD86:DD90)</f>
        <v>5033.37</v>
      </c>
      <c r="DE85" s="193">
        <f>SUM(DE86:DE90)</f>
        <v>5865.119999999999</v>
      </c>
    </row>
    <row r="86" spans="1:110" hidden="1">
      <c r="A86" s="177"/>
      <c r="B86" s="187" t="s">
        <v>23</v>
      </c>
      <c r="C86" s="49" t="s">
        <v>54</v>
      </c>
      <c r="D86" s="31">
        <v>63.53</v>
      </c>
      <c r="E86" s="31">
        <v>46.32</v>
      </c>
      <c r="F86" s="31">
        <v>46.32</v>
      </c>
      <c r="G86" s="31">
        <v>46.32</v>
      </c>
      <c r="H86" s="134">
        <v>49.58</v>
      </c>
      <c r="I86" s="134">
        <f>G86-H86</f>
        <v>-3.259999999999998</v>
      </c>
      <c r="J86" s="134">
        <v>6.56</v>
      </c>
      <c r="K86" s="134">
        <f>I86-J86</f>
        <v>-9.8199999999999967</v>
      </c>
      <c r="L86" s="134">
        <f>G86/12</f>
        <v>3.86</v>
      </c>
      <c r="M86" s="134"/>
      <c r="N86" s="134">
        <f>H86/12</f>
        <v>4.1316666666666668</v>
      </c>
      <c r="O86" s="134"/>
      <c r="P86" s="134"/>
      <c r="Q86" s="134"/>
      <c r="R86" s="134">
        <f>J86/12</f>
        <v>0.54666666666666663</v>
      </c>
      <c r="S86" s="134"/>
      <c r="T86" s="134">
        <f>K86/12</f>
        <v>-0.81833333333333302</v>
      </c>
      <c r="U86" s="134"/>
      <c r="V86" s="134"/>
      <c r="W86" s="134"/>
      <c r="X86" s="51">
        <f>O86-N86</f>
        <v>-4.1316666666666668</v>
      </c>
      <c r="Y86" s="55">
        <f>O86/N86</f>
        <v>0</v>
      </c>
      <c r="Z86" s="134">
        <v>6.23</v>
      </c>
      <c r="AA86" s="134">
        <v>2.36</v>
      </c>
      <c r="AB86" s="134">
        <v>4.13</v>
      </c>
      <c r="AC86" s="134"/>
      <c r="AD86" s="134">
        <v>0.55000000000000004</v>
      </c>
      <c r="AE86" s="134"/>
      <c r="AF86" s="134">
        <v>1.5558000000000001</v>
      </c>
      <c r="AG86" s="134"/>
      <c r="AH86" s="134"/>
      <c r="AI86" s="134"/>
      <c r="AJ86" s="51">
        <f>AC86-AB86</f>
        <v>-4.13</v>
      </c>
      <c r="AK86" s="56">
        <f>AC86/AB86</f>
        <v>0</v>
      </c>
      <c r="AL86" s="134">
        <v>6.23</v>
      </c>
      <c r="AM86" s="134">
        <v>2.36</v>
      </c>
      <c r="AN86" s="134">
        <v>4.13</v>
      </c>
      <c r="AO86" s="134"/>
      <c r="AP86" s="134">
        <v>0.55000000000000004</v>
      </c>
      <c r="AQ86" s="134"/>
      <c r="AR86" s="134">
        <v>1.5558000000000001</v>
      </c>
      <c r="AS86" s="134"/>
      <c r="AT86" s="134"/>
      <c r="AU86" s="134"/>
      <c r="AV86" s="51">
        <f>AO86-AN86</f>
        <v>-4.13</v>
      </c>
      <c r="AW86" s="56">
        <f>AO86/AN86</f>
        <v>0</v>
      </c>
      <c r="AX86" s="31">
        <f t="shared" si="32"/>
        <v>23.16</v>
      </c>
      <c r="AY86" s="31">
        <v>44.17</v>
      </c>
      <c r="AZ86" s="109"/>
      <c r="BA86" s="62">
        <v>24.28</v>
      </c>
      <c r="BB86" s="62"/>
      <c r="BC86" s="62">
        <v>18.41</v>
      </c>
      <c r="BD86" s="62"/>
      <c r="BE86" s="110">
        <v>2.2799999999999998</v>
      </c>
      <c r="BF86" s="109">
        <v>0.75</v>
      </c>
      <c r="BG86" s="62"/>
      <c r="BH86" s="62"/>
      <c r="BI86" s="110"/>
      <c r="BJ86" s="426">
        <f t="shared" si="41"/>
        <v>24.28</v>
      </c>
      <c r="BK86" s="46" t="e">
        <f>BA86/AZ86</f>
        <v>#DIV/0!</v>
      </c>
      <c r="BL86" s="428"/>
      <c r="BM86" s="61">
        <v>2.36442</v>
      </c>
      <c r="BN86" s="62"/>
      <c r="BO86" s="470"/>
      <c r="BP86" s="64"/>
      <c r="BQ86" s="61"/>
      <c r="BR86" s="65"/>
      <c r="BS86" s="66"/>
      <c r="BT86" s="64"/>
      <c r="BU86" s="61"/>
      <c r="BV86" s="65"/>
      <c r="BW86" s="66"/>
      <c r="BX86" s="431"/>
      <c r="BY86" s="68"/>
      <c r="BZ86" s="69">
        <f t="shared" si="42"/>
        <v>2.36442</v>
      </c>
      <c r="CA86" s="70"/>
      <c r="CB86" s="71"/>
      <c r="CC86" s="72">
        <f t="shared" si="43"/>
        <v>-43.955579999999998</v>
      </c>
      <c r="CD86" s="434">
        <v>14.52</v>
      </c>
      <c r="CE86" s="62"/>
      <c r="CF86" s="73"/>
      <c r="CG86" s="74"/>
      <c r="CH86" s="74"/>
      <c r="CI86" s="74"/>
      <c r="CJ86" s="74"/>
      <c r="CK86" s="74"/>
      <c r="CL86" s="74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31">
        <v>46.32</v>
      </c>
      <c r="DB86" s="31">
        <v>46.32</v>
      </c>
      <c r="DC86" s="31">
        <v>46.32</v>
      </c>
      <c r="DD86" s="31">
        <v>51.55</v>
      </c>
      <c r="DE86" s="31">
        <v>57.35</v>
      </c>
    </row>
    <row r="87" spans="1:110" hidden="1">
      <c r="A87" s="177"/>
      <c r="B87" s="187" t="s">
        <v>24</v>
      </c>
      <c r="C87" s="49" t="s">
        <v>54</v>
      </c>
      <c r="D87" s="31">
        <v>1114.1300000000001</v>
      </c>
      <c r="E87" s="31">
        <v>1113.8499999999999</v>
      </c>
      <c r="F87" s="31">
        <v>1113.8499999999999</v>
      </c>
      <c r="G87" s="31">
        <v>1113.8499999999999</v>
      </c>
      <c r="H87" s="134">
        <v>717.5</v>
      </c>
      <c r="I87" s="134">
        <f>G87-H87</f>
        <v>396.34999999999991</v>
      </c>
      <c r="J87" s="134">
        <v>94.95</v>
      </c>
      <c r="K87" s="134">
        <f>I87-J87</f>
        <v>301.39999999999992</v>
      </c>
      <c r="L87" s="134">
        <f>G87/12</f>
        <v>92.820833333333326</v>
      </c>
      <c r="M87" s="134">
        <v>71.47</v>
      </c>
      <c r="N87" s="134">
        <f>H87/12</f>
        <v>59.791666666666664</v>
      </c>
      <c r="O87" s="134"/>
      <c r="P87" s="134"/>
      <c r="Q87" s="134"/>
      <c r="R87" s="134">
        <f>J87/12</f>
        <v>7.9125000000000005</v>
      </c>
      <c r="S87" s="134"/>
      <c r="T87" s="134">
        <f>K87/12</f>
        <v>25.11666666666666</v>
      </c>
      <c r="U87" s="134"/>
      <c r="V87" s="134"/>
      <c r="W87" s="134"/>
      <c r="X87" s="51">
        <f>O87-N87</f>
        <v>-59.791666666666664</v>
      </c>
      <c r="Y87" s="55">
        <f>O87/N87</f>
        <v>0</v>
      </c>
      <c r="Z87" s="134">
        <v>90.22</v>
      </c>
      <c r="AA87" s="134">
        <v>63.7</v>
      </c>
      <c r="AB87" s="134">
        <v>59.79</v>
      </c>
      <c r="AC87" s="134"/>
      <c r="AD87" s="134">
        <v>7.91</v>
      </c>
      <c r="AE87" s="134"/>
      <c r="AF87" s="134">
        <v>22.52</v>
      </c>
      <c r="AG87" s="134"/>
      <c r="AH87" s="134"/>
      <c r="AI87" s="134"/>
      <c r="AJ87" s="51">
        <f>AC87-AB87</f>
        <v>-59.79</v>
      </c>
      <c r="AK87" s="56">
        <f>AC87/AB87</f>
        <v>0</v>
      </c>
      <c r="AL87" s="134">
        <v>90.22</v>
      </c>
      <c r="AM87" s="134">
        <v>63.7</v>
      </c>
      <c r="AN87" s="134">
        <v>59.79</v>
      </c>
      <c r="AO87" s="134"/>
      <c r="AP87" s="134">
        <v>7.91</v>
      </c>
      <c r="AQ87" s="134"/>
      <c r="AR87" s="134">
        <v>22.52</v>
      </c>
      <c r="AS87" s="134"/>
      <c r="AT87" s="134"/>
      <c r="AU87" s="134"/>
      <c r="AV87" s="51">
        <f>AO87-AN87</f>
        <v>-59.79</v>
      </c>
      <c r="AW87" s="56">
        <f>AO87/AN87</f>
        <v>0</v>
      </c>
      <c r="AX87" s="31">
        <f t="shared" si="32"/>
        <v>556.92499999999995</v>
      </c>
      <c r="AY87" s="31">
        <v>1032.26</v>
      </c>
      <c r="AZ87" s="109"/>
      <c r="BA87" s="62">
        <v>590.48</v>
      </c>
      <c r="BB87" s="62"/>
      <c r="BC87" s="62">
        <v>432.89</v>
      </c>
      <c r="BD87" s="62"/>
      <c r="BE87" s="110">
        <v>58.04</v>
      </c>
      <c r="BF87" s="109">
        <v>18.809999999999999</v>
      </c>
      <c r="BG87" s="62"/>
      <c r="BH87" s="62"/>
      <c r="BI87" s="110"/>
      <c r="BJ87" s="426">
        <f t="shared" si="41"/>
        <v>590.48</v>
      </c>
      <c r="BK87" s="46" t="e">
        <f>BA87/AZ87</f>
        <v>#DIV/0!</v>
      </c>
      <c r="BL87" s="428"/>
      <c r="BM87" s="61">
        <v>63.703650000000003</v>
      </c>
      <c r="BN87" s="62"/>
      <c r="BO87" s="470"/>
      <c r="BP87" s="64"/>
      <c r="BQ87" s="61"/>
      <c r="BR87" s="65"/>
      <c r="BS87" s="66"/>
      <c r="BT87" s="64"/>
      <c r="BU87" s="61"/>
      <c r="BV87" s="65"/>
      <c r="BW87" s="66"/>
      <c r="BX87" s="431"/>
      <c r="BY87" s="68"/>
      <c r="BZ87" s="69">
        <f t="shared" si="42"/>
        <v>135.17365000000001</v>
      </c>
      <c r="CA87" s="70"/>
      <c r="CB87" s="71"/>
      <c r="CC87" s="72">
        <f t="shared" si="43"/>
        <v>-978.67634999999996</v>
      </c>
      <c r="CD87" s="434">
        <f>BZ87-CE87</f>
        <v>135.17365000000001</v>
      </c>
      <c r="CE87" s="62"/>
      <c r="CF87" s="73"/>
      <c r="CG87" s="74"/>
      <c r="CH87" s="74"/>
      <c r="CI87" s="74"/>
      <c r="CJ87" s="74"/>
      <c r="CK87" s="74"/>
      <c r="CL87" s="74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31">
        <v>1113.8499999999999</v>
      </c>
      <c r="DB87" s="31"/>
      <c r="DC87" s="31"/>
      <c r="DD87" s="31">
        <v>5.35</v>
      </c>
      <c r="DE87" s="31"/>
    </row>
    <row r="88" spans="1:110" hidden="1">
      <c r="A88" s="177"/>
      <c r="B88" s="187" t="s">
        <v>178</v>
      </c>
      <c r="C88" s="49" t="s">
        <v>54</v>
      </c>
      <c r="D88" s="31">
        <v>447.46</v>
      </c>
      <c r="E88" s="31">
        <v>516.01</v>
      </c>
      <c r="F88" s="31">
        <v>516.01</v>
      </c>
      <c r="G88" s="31">
        <v>516.01</v>
      </c>
      <c r="H88" s="134">
        <v>335.54</v>
      </c>
      <c r="I88" s="134">
        <f>G88-H88</f>
        <v>180.46999999999997</v>
      </c>
      <c r="J88" s="134">
        <v>44.4</v>
      </c>
      <c r="K88" s="134">
        <f>I88-J88</f>
        <v>136.06999999999996</v>
      </c>
      <c r="L88" s="134">
        <f>G88/12</f>
        <v>43.000833333333333</v>
      </c>
      <c r="M88" s="134">
        <v>29.39</v>
      </c>
      <c r="N88" s="134">
        <f>H88/12</f>
        <v>27.96166666666667</v>
      </c>
      <c r="O88" s="134"/>
      <c r="P88" s="134"/>
      <c r="Q88" s="134"/>
      <c r="R88" s="134">
        <f>J88/12</f>
        <v>3.6999999999999997</v>
      </c>
      <c r="S88" s="134"/>
      <c r="T88" s="134">
        <f>K88/12</f>
        <v>11.339166666666664</v>
      </c>
      <c r="U88" s="134"/>
      <c r="V88" s="134"/>
      <c r="W88" s="134"/>
      <c r="X88" s="51">
        <f>O88-N88</f>
        <v>-27.96166666666667</v>
      </c>
      <c r="Y88" s="55">
        <f>O88/N88</f>
        <v>0</v>
      </c>
      <c r="Z88" s="134">
        <v>42.19</v>
      </c>
      <c r="AA88" s="134">
        <v>34.4</v>
      </c>
      <c r="AB88" s="134">
        <v>27.96</v>
      </c>
      <c r="AC88" s="134"/>
      <c r="AD88" s="134">
        <v>3.7</v>
      </c>
      <c r="AE88" s="134"/>
      <c r="AF88" s="134">
        <v>10.53</v>
      </c>
      <c r="AG88" s="134"/>
      <c r="AH88" s="134"/>
      <c r="AI88" s="134"/>
      <c r="AJ88" s="51">
        <f>AC88-AB88</f>
        <v>-27.96</v>
      </c>
      <c r="AK88" s="56">
        <f>AC88/AB88</f>
        <v>0</v>
      </c>
      <c r="AL88" s="134">
        <v>42.19</v>
      </c>
      <c r="AM88" s="134">
        <v>34.4</v>
      </c>
      <c r="AN88" s="134">
        <v>27.96</v>
      </c>
      <c r="AO88" s="134"/>
      <c r="AP88" s="134">
        <v>3.7</v>
      </c>
      <c r="AQ88" s="134"/>
      <c r="AR88" s="134">
        <v>10.53</v>
      </c>
      <c r="AS88" s="134"/>
      <c r="AT88" s="134"/>
      <c r="AU88" s="134"/>
      <c r="AV88" s="51">
        <f>AO88-AN88</f>
        <v>-27.96</v>
      </c>
      <c r="AW88" s="56">
        <f>AO88/AN88</f>
        <v>0</v>
      </c>
      <c r="AX88" s="31">
        <f t="shared" si="32"/>
        <v>258.005</v>
      </c>
      <c r="AY88" s="31">
        <v>484.03</v>
      </c>
      <c r="AZ88" s="109"/>
      <c r="BA88" s="62">
        <v>267.25</v>
      </c>
      <c r="BB88" s="62"/>
      <c r="BC88" s="62">
        <v>206.89</v>
      </c>
      <c r="BD88" s="62"/>
      <c r="BE88" s="110">
        <v>26.84</v>
      </c>
      <c r="BF88" s="109">
        <v>8.6999999999999993</v>
      </c>
      <c r="BG88" s="62"/>
      <c r="BH88" s="62"/>
      <c r="BI88" s="110"/>
      <c r="BJ88" s="426">
        <f t="shared" si="41"/>
        <v>267.25</v>
      </c>
      <c r="BK88" s="46" t="e">
        <f>BA88/AZ88</f>
        <v>#DIV/0!</v>
      </c>
      <c r="BL88" s="428"/>
      <c r="BM88" s="61">
        <v>34.395159999999997</v>
      </c>
      <c r="BN88" s="62"/>
      <c r="BO88" s="470"/>
      <c r="BP88" s="64"/>
      <c r="BQ88" s="61"/>
      <c r="BR88" s="65"/>
      <c r="BS88" s="66"/>
      <c r="BT88" s="64"/>
      <c r="BU88" s="61"/>
      <c r="BV88" s="65"/>
      <c r="BW88" s="66"/>
      <c r="BX88" s="431"/>
      <c r="BY88" s="68"/>
      <c r="BZ88" s="69">
        <f t="shared" si="42"/>
        <v>63.785159999999998</v>
      </c>
      <c r="CA88" s="70"/>
      <c r="CB88" s="71"/>
      <c r="CC88" s="72">
        <f t="shared" si="43"/>
        <v>-452.22483999999997</v>
      </c>
      <c r="CD88" s="434">
        <v>380.9</v>
      </c>
      <c r="CE88" s="62"/>
      <c r="CF88" s="73"/>
      <c r="CG88" s="74"/>
      <c r="CH88" s="74"/>
      <c r="CI88" s="74"/>
      <c r="CJ88" s="74"/>
      <c r="CK88" s="74"/>
      <c r="CL88" s="74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31">
        <v>516.01</v>
      </c>
      <c r="DB88" s="31">
        <v>1629.86</v>
      </c>
      <c r="DC88" s="31">
        <v>1629.86</v>
      </c>
      <c r="DD88" s="31">
        <v>927.35</v>
      </c>
      <c r="DE88" s="31">
        <v>2091.58</v>
      </c>
      <c r="DF88" s="768"/>
    </row>
    <row r="89" spans="1:110" hidden="1">
      <c r="A89" s="177"/>
      <c r="B89" s="187" t="s">
        <v>26</v>
      </c>
      <c r="C89" s="49" t="s">
        <v>54</v>
      </c>
      <c r="D89" s="31">
        <v>2665.39</v>
      </c>
      <c r="E89" s="31">
        <v>2617.35</v>
      </c>
      <c r="F89" s="31">
        <f>2617.35+147.4</f>
        <v>2764.75</v>
      </c>
      <c r="G89" s="31">
        <f>2617.35+147.4</f>
        <v>2764.75</v>
      </c>
      <c r="H89" s="134">
        <v>1375.79</v>
      </c>
      <c r="I89" s="134">
        <f>G89-H89</f>
        <v>1388.96</v>
      </c>
      <c r="J89" s="134">
        <v>182.05</v>
      </c>
      <c r="K89" s="134">
        <f>I89-J89</f>
        <v>1206.9100000000001</v>
      </c>
      <c r="L89" s="134">
        <f>G89/12</f>
        <v>230.39583333333334</v>
      </c>
      <c r="M89" s="134">
        <v>153.05000000000001</v>
      </c>
      <c r="N89" s="134">
        <f>H89/12</f>
        <v>114.64916666666666</v>
      </c>
      <c r="O89" s="134"/>
      <c r="P89" s="134"/>
      <c r="Q89" s="134"/>
      <c r="R89" s="134">
        <f>J89/12</f>
        <v>15.170833333333334</v>
      </c>
      <c r="S89" s="134"/>
      <c r="T89" s="134">
        <f>K89/12</f>
        <v>100.57583333333334</v>
      </c>
      <c r="U89" s="134"/>
      <c r="V89" s="134"/>
      <c r="W89" s="134"/>
      <c r="X89" s="51">
        <f>O89-N89</f>
        <v>-114.64916666666666</v>
      </c>
      <c r="Y89" s="55">
        <f>O89/N89</f>
        <v>0</v>
      </c>
      <c r="Z89" s="134">
        <v>173</v>
      </c>
      <c r="AA89" s="134">
        <v>150.68</v>
      </c>
      <c r="AB89" s="134">
        <v>114.65</v>
      </c>
      <c r="AC89" s="134"/>
      <c r="AD89" s="134">
        <v>15.17</v>
      </c>
      <c r="AE89" s="134"/>
      <c r="AF89" s="134">
        <v>43.177500000000002</v>
      </c>
      <c r="AG89" s="134"/>
      <c r="AH89" s="134"/>
      <c r="AI89" s="134"/>
      <c r="AJ89" s="51">
        <f>AC89-AB89</f>
        <v>-114.65</v>
      </c>
      <c r="AK89" s="56">
        <f>AC89/AB89</f>
        <v>0</v>
      </c>
      <c r="AL89" s="134">
        <v>173</v>
      </c>
      <c r="AM89" s="134">
        <v>150.68</v>
      </c>
      <c r="AN89" s="134">
        <v>114.65</v>
      </c>
      <c r="AO89" s="134"/>
      <c r="AP89" s="134">
        <v>15.17</v>
      </c>
      <c r="AQ89" s="134"/>
      <c r="AR89" s="134">
        <v>43.177500000000002</v>
      </c>
      <c r="AS89" s="134"/>
      <c r="AT89" s="134"/>
      <c r="AU89" s="134"/>
      <c r="AV89" s="51">
        <f>AO89-AN89</f>
        <v>-114.65</v>
      </c>
      <c r="AW89" s="56">
        <f>AO89/AN89</f>
        <v>0</v>
      </c>
      <c r="AX89" s="31">
        <f t="shared" si="32"/>
        <v>1382.375</v>
      </c>
      <c r="AY89" s="31">
        <v>2433</v>
      </c>
      <c r="AZ89" s="109"/>
      <c r="BA89" s="62">
        <v>1374.67</v>
      </c>
      <c r="BB89" s="62"/>
      <c r="BC89" s="62">
        <v>1044.69</v>
      </c>
      <c r="BD89" s="62"/>
      <c r="BE89" s="110">
        <v>121.76</v>
      </c>
      <c r="BF89" s="109">
        <v>39.479999999999997</v>
      </c>
      <c r="BG89" s="62"/>
      <c r="BH89" s="62"/>
      <c r="BI89" s="110"/>
      <c r="BJ89" s="426">
        <f t="shared" si="41"/>
        <v>1374.67</v>
      </c>
      <c r="BK89" s="46" t="e">
        <f>BA89/AZ89</f>
        <v>#DIV/0!</v>
      </c>
      <c r="BL89" s="428"/>
      <c r="BM89" s="61">
        <v>150.67670000000001</v>
      </c>
      <c r="BN89" s="62"/>
      <c r="BO89" s="470"/>
      <c r="BP89" s="64"/>
      <c r="BQ89" s="61"/>
      <c r="BR89" s="65"/>
      <c r="BS89" s="66"/>
      <c r="BT89" s="64"/>
      <c r="BU89" s="61"/>
      <c r="BV89" s="65"/>
      <c r="BW89" s="66"/>
      <c r="BX89" s="431"/>
      <c r="BY89" s="68"/>
      <c r="BZ89" s="69">
        <f t="shared" si="42"/>
        <v>303.72670000000005</v>
      </c>
      <c r="CA89" s="70"/>
      <c r="CB89" s="71"/>
      <c r="CC89" s="72">
        <f t="shared" si="43"/>
        <v>-2313.6232999999997</v>
      </c>
      <c r="CD89" s="434">
        <f>BZ89-CE89</f>
        <v>167.52670000000006</v>
      </c>
      <c r="CE89" s="62">
        <v>136.19999999999999</v>
      </c>
      <c r="CF89" s="73"/>
      <c r="CG89" s="74"/>
      <c r="CH89" s="74"/>
      <c r="CI89" s="74"/>
      <c r="CJ89" s="74"/>
      <c r="CK89" s="74"/>
      <c r="CL89" s="74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31">
        <v>2617.35</v>
      </c>
      <c r="DB89" s="31">
        <f>2617.35+147.4</f>
        <v>2764.75</v>
      </c>
      <c r="DC89" s="31">
        <f>2617.35+147.4</f>
        <v>2764.75</v>
      </c>
      <c r="DD89" s="31">
        <v>3790.48</v>
      </c>
      <c r="DE89" s="31">
        <v>3344.29</v>
      </c>
    </row>
    <row r="90" spans="1:110" hidden="1">
      <c r="A90" s="194"/>
      <c r="B90" s="195" t="s">
        <v>120</v>
      </c>
      <c r="C90" s="49" t="s">
        <v>54</v>
      </c>
      <c r="D90" s="31">
        <v>209.15</v>
      </c>
      <c r="E90" s="31">
        <v>284.45999999999998</v>
      </c>
      <c r="F90" s="31">
        <v>284.45999999999998</v>
      </c>
      <c r="G90" s="31">
        <v>284.45999999999998</v>
      </c>
      <c r="H90" s="145"/>
      <c r="I90" s="145"/>
      <c r="J90" s="145"/>
      <c r="K90" s="145"/>
      <c r="L90" s="145">
        <f>G90/12</f>
        <v>23.704999999999998</v>
      </c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96"/>
      <c r="Y90" s="197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96"/>
      <c r="AK90" s="198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96"/>
      <c r="AW90" s="198"/>
      <c r="AX90" s="144">
        <f t="shared" si="32"/>
        <v>142.22999999999999</v>
      </c>
      <c r="AY90" s="31">
        <v>261.92</v>
      </c>
      <c r="AZ90" s="149"/>
      <c r="BA90" s="62">
        <v>165.91</v>
      </c>
      <c r="BB90" s="150"/>
      <c r="BC90" s="62">
        <v>98.19</v>
      </c>
      <c r="BD90" s="150"/>
      <c r="BE90" s="110">
        <v>12.08</v>
      </c>
      <c r="BF90" s="109">
        <v>3.9</v>
      </c>
      <c r="BG90" s="150"/>
      <c r="BH90" s="150"/>
      <c r="BI90" s="151"/>
      <c r="BJ90" s="435"/>
      <c r="BK90" s="482"/>
      <c r="BL90" s="437"/>
      <c r="BM90" s="483"/>
      <c r="BN90" s="150"/>
      <c r="BO90" s="484"/>
      <c r="BP90" s="485"/>
      <c r="BQ90" s="483"/>
      <c r="BR90" s="486"/>
      <c r="BS90" s="487"/>
      <c r="BT90" s="485"/>
      <c r="BU90" s="483"/>
      <c r="BV90" s="486"/>
      <c r="BW90" s="487"/>
      <c r="BX90" s="440"/>
      <c r="BY90" s="488"/>
      <c r="BZ90" s="489"/>
      <c r="CA90" s="490"/>
      <c r="CB90" s="491"/>
      <c r="CC90" s="246"/>
      <c r="CD90" s="443"/>
      <c r="CE90" s="150"/>
      <c r="CF90" s="492"/>
      <c r="CG90" s="74"/>
      <c r="CH90" s="74"/>
      <c r="CI90" s="74"/>
      <c r="CJ90" s="74"/>
      <c r="CK90" s="74"/>
      <c r="CL90" s="74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31">
        <v>284.45999999999998</v>
      </c>
      <c r="DB90" s="31">
        <v>284.45999999999998</v>
      </c>
      <c r="DC90" s="31">
        <v>284.45999999999998</v>
      </c>
      <c r="DD90" s="31">
        <v>258.64</v>
      </c>
      <c r="DE90" s="31">
        <v>371.9</v>
      </c>
    </row>
    <row r="91" spans="1:110">
      <c r="A91" s="177" t="s">
        <v>257</v>
      </c>
      <c r="B91" s="178" t="s">
        <v>293</v>
      </c>
      <c r="C91" s="266" t="s">
        <v>54</v>
      </c>
      <c r="D91" s="179">
        <f>SUM(D92,D93,D96,D97,D98,D108)</f>
        <v>11763.16</v>
      </c>
      <c r="E91" s="179">
        <f>SUM(E92,E93,E96,E97,E98,E108)</f>
        <v>12546.7</v>
      </c>
      <c r="F91" s="179">
        <f>SUM(F92,F93,F96,F97,F98,F108)</f>
        <v>12138.880000000001</v>
      </c>
      <c r="G91" s="179">
        <f>SUM(G92,G93,G96,G97,G98,G108)</f>
        <v>11898.020000000002</v>
      </c>
      <c r="H91" s="180">
        <f t="shared" ref="H91:N91" si="48">SUM(H94:H133)</f>
        <v>533.58000000000004</v>
      </c>
      <c r="I91" s="180">
        <f t="shared" si="48"/>
        <v>141.82999999999998</v>
      </c>
      <c r="J91" s="180">
        <f t="shared" si="48"/>
        <v>36.880000000000003</v>
      </c>
      <c r="K91" s="180">
        <f t="shared" si="48"/>
        <v>104.95</v>
      </c>
      <c r="L91" s="180">
        <f t="shared" si="48"/>
        <v>55.645000000000003</v>
      </c>
      <c r="M91" s="180">
        <f t="shared" si="48"/>
        <v>65.555710000000005</v>
      </c>
      <c r="N91" s="180">
        <f t="shared" si="48"/>
        <v>43.96</v>
      </c>
      <c r="O91" s="180">
        <v>11.61</v>
      </c>
      <c r="P91" s="180">
        <v>0</v>
      </c>
      <c r="Q91" s="180"/>
      <c r="R91" s="180">
        <f>SUM(R94:R133)</f>
        <v>3.0379999999999998</v>
      </c>
      <c r="S91" s="180">
        <f>SUM(S94:S133)</f>
        <v>3.04</v>
      </c>
      <c r="T91" s="180">
        <f>SUM(T94:T133)</f>
        <v>8.6479999999999997</v>
      </c>
      <c r="U91" s="180">
        <f>SUM(U94:U133)</f>
        <v>8.65</v>
      </c>
      <c r="V91" s="180">
        <v>0</v>
      </c>
      <c r="W91" s="180"/>
      <c r="X91" s="181"/>
      <c r="Y91" s="191"/>
      <c r="Z91" s="180">
        <f t="shared" ref="Z91:AG91" si="49">SUM(Z94:Z133)</f>
        <v>55.65</v>
      </c>
      <c r="AA91" s="180">
        <f t="shared" si="49"/>
        <v>49.76</v>
      </c>
      <c r="AB91" s="180">
        <f t="shared" si="49"/>
        <v>43.96</v>
      </c>
      <c r="AC91" s="180">
        <f t="shared" si="49"/>
        <v>0</v>
      </c>
      <c r="AD91" s="180">
        <f t="shared" si="49"/>
        <v>3.04</v>
      </c>
      <c r="AE91" s="180">
        <f t="shared" si="49"/>
        <v>0</v>
      </c>
      <c r="AF91" s="180">
        <f t="shared" si="49"/>
        <v>8.65</v>
      </c>
      <c r="AG91" s="180">
        <f t="shared" si="49"/>
        <v>0</v>
      </c>
      <c r="AH91" s="180"/>
      <c r="AI91" s="180"/>
      <c r="AJ91" s="181"/>
      <c r="AK91" s="192"/>
      <c r="AL91" s="180">
        <f t="shared" ref="AL91:AS91" si="50">SUM(AL94:AL133)</f>
        <v>55.65</v>
      </c>
      <c r="AM91" s="180">
        <f t="shared" si="50"/>
        <v>49.76</v>
      </c>
      <c r="AN91" s="180">
        <f t="shared" si="50"/>
        <v>43.96</v>
      </c>
      <c r="AO91" s="180">
        <f t="shared" si="50"/>
        <v>0</v>
      </c>
      <c r="AP91" s="180">
        <f t="shared" si="50"/>
        <v>3.04</v>
      </c>
      <c r="AQ91" s="180">
        <f t="shared" si="50"/>
        <v>0</v>
      </c>
      <c r="AR91" s="180">
        <f t="shared" si="50"/>
        <v>8.65</v>
      </c>
      <c r="AS91" s="180">
        <f t="shared" si="50"/>
        <v>0</v>
      </c>
      <c r="AT91" s="180"/>
      <c r="AU91" s="180"/>
      <c r="AV91" s="181"/>
      <c r="AW91" s="192"/>
      <c r="AX91" s="179">
        <f t="shared" si="32"/>
        <v>5949.0100000000011</v>
      </c>
      <c r="AY91" s="179">
        <f>SUM(AY92,AY93,AY96,AY97,AY98,AY108)</f>
        <v>7919.7199999999993</v>
      </c>
      <c r="AZ91" s="184">
        <f>H91/4</f>
        <v>133.39500000000001</v>
      </c>
      <c r="BA91" s="185">
        <f>SUM(BA92,BA93,BA96,BA98,BA108)</f>
        <v>3156.2900000000004</v>
      </c>
      <c r="BB91" s="185">
        <f t="shared" ref="BB91:BG91" si="51">SUM(BB92,BB93,BB96,BB98,BB108)</f>
        <v>0</v>
      </c>
      <c r="BC91" s="185">
        <f t="shared" si="51"/>
        <v>574.95000000000005</v>
      </c>
      <c r="BD91" s="185">
        <f t="shared" si="51"/>
        <v>0</v>
      </c>
      <c r="BE91" s="186">
        <f t="shared" si="51"/>
        <v>7.46</v>
      </c>
      <c r="BF91" s="184">
        <f t="shared" si="51"/>
        <v>282.43</v>
      </c>
      <c r="BG91" s="185">
        <f t="shared" si="51"/>
        <v>320.49</v>
      </c>
      <c r="BH91" s="185"/>
      <c r="BI91" s="186"/>
      <c r="BJ91" s="426">
        <f>BA91-AZ91</f>
        <v>3022.8950000000004</v>
      </c>
      <c r="BK91" s="481"/>
      <c r="BL91" s="468"/>
      <c r="BM91" s="469">
        <f>SUM(BM94:BM133)</f>
        <v>49.757379999999998</v>
      </c>
      <c r="BN91" s="264"/>
      <c r="BO91" s="470"/>
      <c r="BP91" s="471"/>
      <c r="BQ91" s="469"/>
      <c r="BR91" s="472"/>
      <c r="BS91" s="473"/>
      <c r="BT91" s="471"/>
      <c r="BU91" s="469"/>
      <c r="BV91" s="472"/>
      <c r="BW91" s="473"/>
      <c r="BX91" s="474">
        <v>70.36</v>
      </c>
      <c r="BY91" s="475">
        <f>F91</f>
        <v>12138.880000000001</v>
      </c>
      <c r="BZ91" s="320">
        <f>M91+BM91+BQ91+BU91</f>
        <v>115.31309</v>
      </c>
      <c r="CA91" s="469">
        <f>BZ91-BY91</f>
        <v>-12023.566910000001</v>
      </c>
      <c r="CB91" s="476">
        <v>0</v>
      </c>
      <c r="CC91" s="307">
        <f>BZ91-E91</f>
        <v>-12431.386910000001</v>
      </c>
      <c r="CD91" s="477">
        <f>SUM(CD94:CD133)</f>
        <v>956.95999999999992</v>
      </c>
      <c r="CE91" s="185">
        <f>SUM(CE94:CE133)</f>
        <v>25.04</v>
      </c>
      <c r="CF91" s="478"/>
      <c r="CG91" s="465"/>
      <c r="CH91" s="465"/>
      <c r="CI91" s="465"/>
      <c r="CJ91" s="465"/>
      <c r="CK91" s="465"/>
      <c r="CL91" s="465"/>
      <c r="CM91" s="466"/>
      <c r="CN91" s="466"/>
      <c r="CO91" s="466"/>
      <c r="CP91" s="466"/>
      <c r="CQ91" s="466"/>
      <c r="CR91" s="466"/>
      <c r="CS91" s="466"/>
      <c r="CT91" s="466"/>
      <c r="CU91" s="466"/>
      <c r="CV91" s="466"/>
      <c r="CW91" s="466"/>
      <c r="CX91" s="466"/>
      <c r="CY91" s="466"/>
      <c r="CZ91" s="466"/>
      <c r="DA91" s="179" t="e">
        <f>SUM(DA92,DA93,DA96,DA98,DA108,DA97)</f>
        <v>#REF!</v>
      </c>
      <c r="DB91" s="179">
        <f>SUM(DB92,DB93,DB96,DB98,DB108,DB97)</f>
        <v>13013.770000000002</v>
      </c>
      <c r="DC91" s="179">
        <f>SUM(DC92,DC93,DC96,DC97,DC98,DC108)</f>
        <v>10760.373</v>
      </c>
      <c r="DD91" s="179">
        <f>SUM(DD92,DD93,DD96,DD97,DD98,DD108)</f>
        <v>7204.7599999999993</v>
      </c>
      <c r="DE91" s="179">
        <f>SUM(DE92,DE93,DE96,DE97,DE98,DE108)</f>
        <v>9618.27</v>
      </c>
    </row>
    <row r="92" spans="1:110" hidden="1">
      <c r="A92" s="194" t="s">
        <v>258</v>
      </c>
      <c r="B92" s="199" t="s">
        <v>171</v>
      </c>
      <c r="C92" s="266" t="s">
        <v>54</v>
      </c>
      <c r="D92" s="179">
        <v>91.8</v>
      </c>
      <c r="E92" s="179">
        <v>97.3</v>
      </c>
      <c r="F92" s="179">
        <v>105.5</v>
      </c>
      <c r="G92" s="179">
        <v>105.5</v>
      </c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1"/>
      <c r="Y92" s="202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1"/>
      <c r="AK92" s="203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1"/>
      <c r="AW92" s="203"/>
      <c r="AX92" s="193">
        <f t="shared" si="32"/>
        <v>52.75</v>
      </c>
      <c r="AY92" s="193">
        <v>116.85</v>
      </c>
      <c r="AZ92" s="204"/>
      <c r="BA92" s="185">
        <v>57.33</v>
      </c>
      <c r="BB92" s="205"/>
      <c r="BC92" s="185">
        <v>31.68</v>
      </c>
      <c r="BD92" s="205"/>
      <c r="BE92" s="206">
        <v>2.8</v>
      </c>
      <c r="BF92" s="204">
        <v>21.05</v>
      </c>
      <c r="BG92" s="205"/>
      <c r="BH92" s="205"/>
      <c r="BI92" s="206"/>
      <c r="BJ92" s="435"/>
      <c r="BK92" s="493"/>
      <c r="BL92" s="494"/>
      <c r="BM92" s="495"/>
      <c r="BN92" s="205"/>
      <c r="BO92" s="484"/>
      <c r="BP92" s="496"/>
      <c r="BQ92" s="495"/>
      <c r="BR92" s="497"/>
      <c r="BS92" s="498"/>
      <c r="BT92" s="496"/>
      <c r="BU92" s="495"/>
      <c r="BV92" s="497"/>
      <c r="BW92" s="498"/>
      <c r="BX92" s="499"/>
      <c r="BY92" s="500"/>
      <c r="BZ92" s="501"/>
      <c r="CA92" s="502"/>
      <c r="CB92" s="503"/>
      <c r="CC92" s="282"/>
      <c r="CD92" s="504"/>
      <c r="CE92" s="205"/>
      <c r="CF92" s="505"/>
      <c r="CG92" s="465"/>
      <c r="CH92" s="465"/>
      <c r="CI92" s="465"/>
      <c r="CJ92" s="465"/>
      <c r="CK92" s="465"/>
      <c r="CL92" s="465"/>
      <c r="CM92" s="466"/>
      <c r="CN92" s="466"/>
      <c r="CO92" s="466"/>
      <c r="CP92" s="466"/>
      <c r="CQ92" s="466"/>
      <c r="CR92" s="466"/>
      <c r="CS92" s="466"/>
      <c r="CT92" s="466"/>
      <c r="CU92" s="466"/>
      <c r="CV92" s="466"/>
      <c r="CW92" s="466"/>
      <c r="CX92" s="466"/>
      <c r="CY92" s="466"/>
      <c r="CZ92" s="466"/>
      <c r="DA92" s="193">
        <v>97.3</v>
      </c>
      <c r="DB92" s="193">
        <v>116.85</v>
      </c>
      <c r="DC92" s="179">
        <v>116.85</v>
      </c>
      <c r="DD92" s="179">
        <v>90.84</v>
      </c>
      <c r="DE92" s="179">
        <v>106.38</v>
      </c>
      <c r="DF92" s="768"/>
    </row>
    <row r="93" spans="1:110" hidden="1">
      <c r="A93" s="194" t="s">
        <v>259</v>
      </c>
      <c r="B93" s="199" t="s">
        <v>172</v>
      </c>
      <c r="C93" s="266" t="s">
        <v>54</v>
      </c>
      <c r="D93" s="179">
        <f>SUM(D94,D95)</f>
        <v>104.96000000000001</v>
      </c>
      <c r="E93" s="179">
        <f>SUM(E94,E95)</f>
        <v>106.62</v>
      </c>
      <c r="F93" s="179">
        <f>SUM(F94,F95)</f>
        <v>110.19</v>
      </c>
      <c r="G93" s="179">
        <f>SUM(G94,G95)</f>
        <v>110.19</v>
      </c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1"/>
      <c r="Y93" s="202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1"/>
      <c r="AK93" s="203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1"/>
      <c r="AW93" s="203"/>
      <c r="AX93" s="193">
        <f t="shared" si="32"/>
        <v>55.094999999999999</v>
      </c>
      <c r="AY93" s="193">
        <f>SUM(AY94,AY95)</f>
        <v>115.44000000000001</v>
      </c>
      <c r="AZ93" s="204"/>
      <c r="BA93" s="185">
        <f>SUM(BA94:BA95)</f>
        <v>64.69</v>
      </c>
      <c r="BB93" s="185">
        <f t="shared" ref="BB93:BG93" si="52">SUM(BB94:BB95)</f>
        <v>0</v>
      </c>
      <c r="BC93" s="185">
        <f t="shared" si="52"/>
        <v>36.080000000000005</v>
      </c>
      <c r="BD93" s="185">
        <f t="shared" si="52"/>
        <v>0</v>
      </c>
      <c r="BE93" s="186">
        <f t="shared" si="52"/>
        <v>4.1900000000000004</v>
      </c>
      <c r="BF93" s="184">
        <f t="shared" si="52"/>
        <v>19.72</v>
      </c>
      <c r="BG93" s="185">
        <f t="shared" si="52"/>
        <v>0</v>
      </c>
      <c r="BH93" s="205"/>
      <c r="BI93" s="206"/>
      <c r="BJ93" s="435"/>
      <c r="BK93" s="493"/>
      <c r="BL93" s="494"/>
      <c r="BM93" s="495"/>
      <c r="BN93" s="205"/>
      <c r="BO93" s="484"/>
      <c r="BP93" s="496"/>
      <c r="BQ93" s="495"/>
      <c r="BR93" s="497"/>
      <c r="BS93" s="498"/>
      <c r="BT93" s="496"/>
      <c r="BU93" s="495"/>
      <c r="BV93" s="497"/>
      <c r="BW93" s="498"/>
      <c r="BX93" s="499"/>
      <c r="BY93" s="500"/>
      <c r="BZ93" s="501"/>
      <c r="CA93" s="502"/>
      <c r="CB93" s="503"/>
      <c r="CC93" s="282"/>
      <c r="CD93" s="504"/>
      <c r="CE93" s="205"/>
      <c r="CF93" s="505"/>
      <c r="CG93" s="465"/>
      <c r="CH93" s="465"/>
      <c r="CI93" s="465"/>
      <c r="CJ93" s="465"/>
      <c r="CK93" s="465"/>
      <c r="CL93" s="465"/>
      <c r="CM93" s="466"/>
      <c r="CN93" s="466"/>
      <c r="CO93" s="466"/>
      <c r="CP93" s="466"/>
      <c r="CQ93" s="466"/>
      <c r="CR93" s="466"/>
      <c r="CS93" s="466"/>
      <c r="CT93" s="466"/>
      <c r="CU93" s="466"/>
      <c r="CV93" s="466"/>
      <c r="CW93" s="466"/>
      <c r="CX93" s="466"/>
      <c r="CY93" s="466"/>
      <c r="CZ93" s="466"/>
      <c r="DA93" s="193">
        <f>SUM(DA94,DA95)</f>
        <v>106.62</v>
      </c>
      <c r="DB93" s="193">
        <f>SUM(DB94,DB95)</f>
        <v>115.44000000000001</v>
      </c>
      <c r="DC93" s="179">
        <f>SUM(DC94,DC95)</f>
        <v>115.44000000000001</v>
      </c>
      <c r="DD93" s="179">
        <f>SUM(DD94,DD95)</f>
        <v>115.44000000000001</v>
      </c>
      <c r="DE93" s="179">
        <f>SUM(DE94,DE95)</f>
        <v>115.44000000000001</v>
      </c>
    </row>
    <row r="94" spans="1:110" hidden="1">
      <c r="A94" s="177"/>
      <c r="B94" s="187" t="s">
        <v>4</v>
      </c>
      <c r="C94" s="97" t="s">
        <v>54</v>
      </c>
      <c r="D94" s="31">
        <v>96.26</v>
      </c>
      <c r="E94" s="31">
        <v>96.26</v>
      </c>
      <c r="F94" s="31">
        <v>99.83</v>
      </c>
      <c r="G94" s="31">
        <v>99.83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>
        <v>0</v>
      </c>
      <c r="R94" s="134"/>
      <c r="S94" s="134"/>
      <c r="T94" s="134"/>
      <c r="U94" s="134"/>
      <c r="V94" s="134"/>
      <c r="W94" s="134"/>
      <c r="X94" s="54"/>
      <c r="Y94" s="55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54"/>
      <c r="AK94" s="56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54"/>
      <c r="AW94" s="56"/>
      <c r="AX94" s="179"/>
      <c r="AY94" s="31">
        <v>112.4</v>
      </c>
      <c r="AZ94" s="184"/>
      <c r="BA94" s="62">
        <v>58.95</v>
      </c>
      <c r="BB94" s="62"/>
      <c r="BC94" s="62">
        <v>32.270000000000003</v>
      </c>
      <c r="BD94" s="62"/>
      <c r="BE94" s="110">
        <v>3.68</v>
      </c>
      <c r="BF94" s="109">
        <v>17.14</v>
      </c>
      <c r="BG94" s="62"/>
      <c r="BH94" s="62"/>
      <c r="BI94" s="110"/>
      <c r="BJ94" s="426">
        <f>BA94-AZ94</f>
        <v>58.95</v>
      </c>
      <c r="BK94" s="46"/>
      <c r="BL94" s="428"/>
      <c r="BM94" s="61"/>
      <c r="BN94" s="62"/>
      <c r="BO94" s="470"/>
      <c r="BP94" s="64"/>
      <c r="BQ94" s="61"/>
      <c r="BR94" s="65"/>
      <c r="BS94" s="66"/>
      <c r="BT94" s="64"/>
      <c r="BU94" s="61"/>
      <c r="BV94" s="65"/>
      <c r="BW94" s="66"/>
      <c r="BX94" s="431"/>
      <c r="BY94" s="68"/>
      <c r="BZ94" s="69">
        <f>M94+BM94+BQ94+BU94</f>
        <v>0</v>
      </c>
      <c r="CA94" s="70"/>
      <c r="CB94" s="71"/>
      <c r="CC94" s="72">
        <f>BZ94-E94</f>
        <v>-96.26</v>
      </c>
      <c r="CD94" s="434">
        <v>20.54</v>
      </c>
      <c r="CE94" s="62">
        <v>5.14</v>
      </c>
      <c r="CF94" s="73"/>
      <c r="CG94" s="74"/>
      <c r="CH94" s="74"/>
      <c r="CI94" s="74"/>
      <c r="CJ94" s="74"/>
      <c r="CK94" s="74"/>
      <c r="CL94" s="74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31">
        <v>96.26</v>
      </c>
      <c r="DB94" s="31">
        <v>112.4</v>
      </c>
      <c r="DC94" s="31">
        <v>112.4</v>
      </c>
      <c r="DD94" s="31">
        <v>112.4</v>
      </c>
      <c r="DE94" s="31">
        <v>112.4</v>
      </c>
    </row>
    <row r="95" spans="1:110" ht="24" hidden="1">
      <c r="A95" s="177"/>
      <c r="B95" s="187" t="s">
        <v>239</v>
      </c>
      <c r="C95" s="97" t="s">
        <v>54</v>
      </c>
      <c r="D95" s="31">
        <v>8.6999999999999993</v>
      </c>
      <c r="E95" s="31">
        <v>10.36</v>
      </c>
      <c r="F95" s="31">
        <v>10.36</v>
      </c>
      <c r="G95" s="31">
        <v>10.36</v>
      </c>
      <c r="H95" s="134">
        <v>76.53</v>
      </c>
      <c r="I95" s="134">
        <v>20.34</v>
      </c>
      <c r="J95" s="134">
        <v>5.29</v>
      </c>
      <c r="K95" s="134">
        <v>15.05</v>
      </c>
      <c r="L95" s="134"/>
      <c r="M95" s="134"/>
      <c r="N95" s="134"/>
      <c r="O95" s="134"/>
      <c r="P95" s="134"/>
      <c r="Q95" s="134">
        <v>0</v>
      </c>
      <c r="R95" s="134"/>
      <c r="S95" s="134"/>
      <c r="T95" s="134"/>
      <c r="U95" s="134"/>
      <c r="V95" s="134"/>
      <c r="W95" s="134"/>
      <c r="X95" s="54"/>
      <c r="Y95" s="55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54"/>
      <c r="AK95" s="56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54"/>
      <c r="AW95" s="56"/>
      <c r="AX95" s="179">
        <f>G95/2</f>
        <v>5.18</v>
      </c>
      <c r="AY95" s="31">
        <v>3.04</v>
      </c>
      <c r="AZ95" s="109"/>
      <c r="BA95" s="62">
        <v>5.74</v>
      </c>
      <c r="BB95" s="62"/>
      <c r="BC95" s="62">
        <v>3.81</v>
      </c>
      <c r="BD95" s="62"/>
      <c r="BE95" s="110">
        <v>0.51</v>
      </c>
      <c r="BF95" s="109">
        <v>2.58</v>
      </c>
      <c r="BG95" s="62"/>
      <c r="BH95" s="62"/>
      <c r="BI95" s="110"/>
      <c r="BJ95" s="426">
        <f>BA95-AZ95</f>
        <v>5.74</v>
      </c>
      <c r="BK95" s="46"/>
      <c r="BL95" s="428"/>
      <c r="BM95" s="61"/>
      <c r="BN95" s="62"/>
      <c r="BO95" s="470"/>
      <c r="BP95" s="64"/>
      <c r="BQ95" s="61"/>
      <c r="BR95" s="65"/>
      <c r="BS95" s="66"/>
      <c r="BT95" s="64"/>
      <c r="BU95" s="61"/>
      <c r="BV95" s="65"/>
      <c r="BW95" s="66"/>
      <c r="BX95" s="431"/>
      <c r="BY95" s="68"/>
      <c r="BZ95" s="69">
        <v>99.41</v>
      </c>
      <c r="CA95" s="70"/>
      <c r="CB95" s="71"/>
      <c r="CC95" s="72">
        <f>BZ95-E95</f>
        <v>89.05</v>
      </c>
      <c r="CD95" s="434">
        <v>79.510000000000005</v>
      </c>
      <c r="CE95" s="62">
        <v>19.899999999999999</v>
      </c>
      <c r="CF95" s="73"/>
      <c r="CG95" s="74"/>
      <c r="CH95" s="74"/>
      <c r="CI95" s="74"/>
      <c r="CJ95" s="74"/>
      <c r="CK95" s="74"/>
      <c r="CL95" s="74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31">
        <v>10.36</v>
      </c>
      <c r="DB95" s="31">
        <v>3.04</v>
      </c>
      <c r="DC95" s="31">
        <v>3.04</v>
      </c>
      <c r="DD95" s="31">
        <v>3.04</v>
      </c>
      <c r="DE95" s="31">
        <v>3.04</v>
      </c>
    </row>
    <row r="96" spans="1:110" hidden="1">
      <c r="A96" s="194" t="s">
        <v>260</v>
      </c>
      <c r="B96" s="199" t="s">
        <v>173</v>
      </c>
      <c r="C96" s="266" t="s">
        <v>54</v>
      </c>
      <c r="D96" s="179">
        <v>273.27</v>
      </c>
      <c r="E96" s="179">
        <v>0</v>
      </c>
      <c r="F96" s="179">
        <v>0</v>
      </c>
      <c r="G96" s="179">
        <v>0</v>
      </c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1"/>
      <c r="Y96" s="202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1"/>
      <c r="AK96" s="203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1"/>
      <c r="AW96" s="203"/>
      <c r="AX96" s="193"/>
      <c r="AY96" s="193">
        <v>313.64999999999998</v>
      </c>
      <c r="AZ96" s="204"/>
      <c r="BA96" s="185">
        <v>273.27</v>
      </c>
      <c r="BB96" s="205"/>
      <c r="BC96" s="185">
        <v>0</v>
      </c>
      <c r="BD96" s="205"/>
      <c r="BE96" s="206">
        <v>0</v>
      </c>
      <c r="BF96" s="204">
        <v>0</v>
      </c>
      <c r="BG96" s="205"/>
      <c r="BH96" s="205"/>
      <c r="BI96" s="206"/>
      <c r="BJ96" s="435"/>
      <c r="BK96" s="493"/>
      <c r="BL96" s="494"/>
      <c r="BM96" s="495"/>
      <c r="BN96" s="205"/>
      <c r="BO96" s="484"/>
      <c r="BP96" s="496"/>
      <c r="BQ96" s="495"/>
      <c r="BR96" s="497"/>
      <c r="BS96" s="498"/>
      <c r="BT96" s="496"/>
      <c r="BU96" s="495"/>
      <c r="BV96" s="497"/>
      <c r="BW96" s="498"/>
      <c r="BX96" s="499"/>
      <c r="BY96" s="500"/>
      <c r="BZ96" s="501"/>
      <c r="CA96" s="502"/>
      <c r="CB96" s="503"/>
      <c r="CC96" s="282"/>
      <c r="CD96" s="504"/>
      <c r="CE96" s="205"/>
      <c r="CF96" s="505"/>
      <c r="CG96" s="465"/>
      <c r="CH96" s="465"/>
      <c r="CI96" s="465"/>
      <c r="CJ96" s="465"/>
      <c r="CK96" s="465"/>
      <c r="CL96" s="465"/>
      <c r="CM96" s="466"/>
      <c r="CN96" s="466"/>
      <c r="CO96" s="466"/>
      <c r="CP96" s="466"/>
      <c r="CQ96" s="466"/>
      <c r="CR96" s="466"/>
      <c r="CS96" s="466"/>
      <c r="CT96" s="466"/>
      <c r="CU96" s="466"/>
      <c r="CV96" s="466"/>
      <c r="CW96" s="466"/>
      <c r="CX96" s="466"/>
      <c r="CY96" s="466"/>
      <c r="CZ96" s="466"/>
      <c r="DA96" s="193" t="e">
        <f>SUM(DC96,#REF!,DE96)</f>
        <v>#REF!</v>
      </c>
      <c r="DB96" s="193">
        <v>943.2</v>
      </c>
      <c r="DC96" s="179">
        <v>943.2</v>
      </c>
      <c r="DD96" s="179">
        <v>943.2</v>
      </c>
      <c r="DE96" s="179">
        <v>943.2</v>
      </c>
    </row>
    <row r="97" spans="1:111" hidden="1">
      <c r="A97" s="194" t="s">
        <v>261</v>
      </c>
      <c r="B97" s="199" t="s">
        <v>100</v>
      </c>
      <c r="C97" s="266" t="s">
        <v>54</v>
      </c>
      <c r="D97" s="320">
        <v>476.12</v>
      </c>
      <c r="E97" s="320">
        <v>18.13</v>
      </c>
      <c r="F97" s="320">
        <v>0</v>
      </c>
      <c r="G97" s="320">
        <v>0</v>
      </c>
      <c r="H97" s="181">
        <v>457.05</v>
      </c>
      <c r="I97" s="181">
        <v>121.49</v>
      </c>
      <c r="J97" s="181">
        <v>31.59</v>
      </c>
      <c r="K97" s="181">
        <v>89.9</v>
      </c>
      <c r="L97" s="322">
        <v>55.645000000000003</v>
      </c>
      <c r="M97" s="322">
        <v>55.645710000000001</v>
      </c>
      <c r="N97" s="322">
        <v>43.96</v>
      </c>
      <c r="O97" s="322">
        <v>43.96</v>
      </c>
      <c r="P97" s="322"/>
      <c r="Q97" s="322"/>
      <c r="R97" s="322">
        <v>3.0379999999999998</v>
      </c>
      <c r="S97" s="322">
        <v>3.04</v>
      </c>
      <c r="T97" s="322">
        <v>8.6479999999999997</v>
      </c>
      <c r="U97" s="322">
        <v>8.65</v>
      </c>
      <c r="V97" s="322"/>
      <c r="W97" s="322"/>
      <c r="X97" s="181">
        <f>O97-N97</f>
        <v>0</v>
      </c>
      <c r="Y97" s="191">
        <f>O97/N97</f>
        <v>1</v>
      </c>
      <c r="Z97" s="322">
        <v>55.65</v>
      </c>
      <c r="AA97" s="322">
        <v>49.05</v>
      </c>
      <c r="AB97" s="322">
        <v>43.96</v>
      </c>
      <c r="AC97" s="322"/>
      <c r="AD97" s="322">
        <v>3.04</v>
      </c>
      <c r="AE97" s="322"/>
      <c r="AF97" s="322">
        <v>8.65</v>
      </c>
      <c r="AG97" s="322"/>
      <c r="AH97" s="322"/>
      <c r="AI97" s="322"/>
      <c r="AJ97" s="181"/>
      <c r="AK97" s="192"/>
      <c r="AL97" s="322">
        <v>55.65</v>
      </c>
      <c r="AM97" s="322">
        <v>49.05</v>
      </c>
      <c r="AN97" s="322">
        <v>43.96</v>
      </c>
      <c r="AO97" s="322"/>
      <c r="AP97" s="322">
        <v>3.04</v>
      </c>
      <c r="AQ97" s="322"/>
      <c r="AR97" s="322">
        <v>8.65</v>
      </c>
      <c r="AS97" s="322"/>
      <c r="AT97" s="322"/>
      <c r="AU97" s="322"/>
      <c r="AV97" s="181"/>
      <c r="AW97" s="192"/>
      <c r="AX97" s="179">
        <v>308.88</v>
      </c>
      <c r="AY97" s="323">
        <v>129.88</v>
      </c>
      <c r="AZ97" s="324"/>
      <c r="BA97" s="325">
        <f>AY97-BC97</f>
        <v>-0.96999999999999886</v>
      </c>
      <c r="BB97" s="325"/>
      <c r="BC97" s="325">
        <v>130.85</v>
      </c>
      <c r="BD97" s="325"/>
      <c r="BE97" s="326"/>
      <c r="BF97" s="324"/>
      <c r="BG97" s="325"/>
      <c r="BH97" s="325"/>
      <c r="BI97" s="326"/>
      <c r="BJ97" s="426">
        <f>BA97-AZ97</f>
        <v>-0.96999999999999886</v>
      </c>
      <c r="BK97" s="481"/>
      <c r="BL97" s="506"/>
      <c r="BM97" s="454">
        <v>49.047379999999997</v>
      </c>
      <c r="BN97" s="175"/>
      <c r="BO97" s="507"/>
      <c r="BP97" s="456"/>
      <c r="BQ97" s="454"/>
      <c r="BR97" s="508"/>
      <c r="BS97" s="458"/>
      <c r="BT97" s="456"/>
      <c r="BU97" s="454"/>
      <c r="BV97" s="508"/>
      <c r="BW97" s="458"/>
      <c r="BX97" s="509"/>
      <c r="BY97" s="460"/>
      <c r="BZ97" s="461">
        <f>M97+BM97+BQ97+BU97</f>
        <v>104.69309</v>
      </c>
      <c r="CA97" s="510"/>
      <c r="CB97" s="462"/>
      <c r="CC97" s="309">
        <f>BZ97-E97</f>
        <v>86.563090000000003</v>
      </c>
      <c r="CD97" s="511">
        <v>730.28</v>
      </c>
      <c r="CE97" s="512"/>
      <c r="CF97" s="464"/>
      <c r="CG97" s="465"/>
      <c r="CH97" s="465"/>
      <c r="CI97" s="465"/>
      <c r="CJ97" s="465"/>
      <c r="CK97" s="465"/>
      <c r="CL97" s="465"/>
      <c r="CM97" s="466"/>
      <c r="CN97" s="466"/>
      <c r="CO97" s="466"/>
      <c r="CP97" s="466"/>
      <c r="CQ97" s="466"/>
      <c r="CR97" s="466"/>
      <c r="CS97" s="466"/>
      <c r="CT97" s="466"/>
      <c r="CU97" s="466"/>
      <c r="CV97" s="466"/>
      <c r="CW97" s="466"/>
      <c r="CX97" s="466"/>
      <c r="CY97" s="466"/>
      <c r="CZ97" s="466"/>
      <c r="DA97" s="323">
        <v>18.13</v>
      </c>
      <c r="DB97" s="323">
        <v>0</v>
      </c>
      <c r="DC97" s="320">
        <v>0</v>
      </c>
      <c r="DD97" s="320">
        <v>0</v>
      </c>
      <c r="DE97" s="320">
        <v>0</v>
      </c>
    </row>
    <row r="98" spans="1:111" ht="12" customHeight="1">
      <c r="A98" s="194" t="s">
        <v>258</v>
      </c>
      <c r="B98" s="199" t="s">
        <v>284</v>
      </c>
      <c r="C98" s="266" t="s">
        <v>54</v>
      </c>
      <c r="D98" s="179">
        <f>SUM(D99:D107)</f>
        <v>10550</v>
      </c>
      <c r="E98" s="179">
        <f>SUM(E99:E107)</f>
        <v>12053.2</v>
      </c>
      <c r="F98" s="179">
        <f>SUM(F99:F107)</f>
        <v>11651.74</v>
      </c>
      <c r="G98" s="179">
        <f>SUM(G99:G107)</f>
        <v>11410.880000000001</v>
      </c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1"/>
      <c r="Y98" s="202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1"/>
      <c r="AK98" s="203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1"/>
      <c r="AW98" s="203"/>
      <c r="AX98" s="193"/>
      <c r="AY98" s="193">
        <f>SUM(AY99:AY107)</f>
        <v>7069.23</v>
      </c>
      <c r="AZ98" s="204"/>
      <c r="BA98" s="185">
        <f>SUM(BA99:BA107)</f>
        <v>2625.9700000000003</v>
      </c>
      <c r="BB98" s="185">
        <f>SUM(BB99:BB107)</f>
        <v>0</v>
      </c>
      <c r="BC98" s="185">
        <f>SUM(BC99:BC107)</f>
        <v>472.75</v>
      </c>
      <c r="BD98" s="205"/>
      <c r="BE98" s="206">
        <v>0</v>
      </c>
      <c r="BF98" s="204">
        <f>SUM(BF99:BF101)</f>
        <v>229.78</v>
      </c>
      <c r="BG98" s="205"/>
      <c r="BH98" s="205"/>
      <c r="BI98" s="206"/>
      <c r="BJ98" s="435"/>
      <c r="BK98" s="493"/>
      <c r="BL98" s="494"/>
      <c r="BM98" s="495"/>
      <c r="BN98" s="205"/>
      <c r="BO98" s="484"/>
      <c r="BP98" s="496"/>
      <c r="BQ98" s="495"/>
      <c r="BR98" s="497"/>
      <c r="BS98" s="498"/>
      <c r="BT98" s="496"/>
      <c r="BU98" s="495"/>
      <c r="BV98" s="497"/>
      <c r="BW98" s="498"/>
      <c r="BX98" s="499"/>
      <c r="BY98" s="500"/>
      <c r="BZ98" s="501"/>
      <c r="CA98" s="502"/>
      <c r="CB98" s="503"/>
      <c r="CC98" s="282"/>
      <c r="CD98" s="504"/>
      <c r="CE98" s="205"/>
      <c r="CF98" s="505"/>
      <c r="CG98" s="465"/>
      <c r="CH98" s="465"/>
      <c r="CI98" s="465"/>
      <c r="CJ98" s="465"/>
      <c r="CK98" s="465"/>
      <c r="CL98" s="465"/>
      <c r="CM98" s="466"/>
      <c r="CN98" s="466"/>
      <c r="CO98" s="466"/>
      <c r="CP98" s="466"/>
      <c r="CQ98" s="466"/>
      <c r="CR98" s="466"/>
      <c r="CS98" s="466"/>
      <c r="CT98" s="466"/>
      <c r="CU98" s="466"/>
      <c r="CV98" s="466"/>
      <c r="CW98" s="466"/>
      <c r="CX98" s="466"/>
      <c r="CY98" s="466"/>
      <c r="CZ98" s="466"/>
      <c r="DA98" s="193">
        <f>SUM(DA101,DA102)</f>
        <v>12053.2</v>
      </c>
      <c r="DB98" s="193">
        <f>SUM(DB101,DB102)</f>
        <v>11651.740000000002</v>
      </c>
      <c r="DC98" s="179">
        <f>SUM(DC99:DC107)</f>
        <v>9296.4329999999991</v>
      </c>
      <c r="DD98" s="179">
        <f>SUM(DD99:DD107)</f>
        <v>5932.5</v>
      </c>
      <c r="DE98" s="179">
        <f>SUM(DE99:DE107)</f>
        <v>8164.8</v>
      </c>
    </row>
    <row r="99" spans="1:111" hidden="1">
      <c r="A99" s="207"/>
      <c r="B99" s="195" t="s">
        <v>194</v>
      </c>
      <c r="C99" s="97" t="s">
        <v>54</v>
      </c>
      <c r="D99" s="31"/>
      <c r="E99" s="31"/>
      <c r="F99" s="31"/>
      <c r="G99" s="31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96"/>
      <c r="Y99" s="197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96"/>
      <c r="AK99" s="198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96"/>
      <c r="AW99" s="198"/>
      <c r="AX99" s="144"/>
      <c r="AY99" s="144"/>
      <c r="AZ99" s="149"/>
      <c r="BA99" s="62">
        <v>7</v>
      </c>
      <c r="BB99" s="150"/>
      <c r="BC99" s="62"/>
      <c r="BD99" s="150"/>
      <c r="BE99" s="151"/>
      <c r="BF99" s="149"/>
      <c r="BG99" s="150"/>
      <c r="BH99" s="150"/>
      <c r="BI99" s="151"/>
      <c r="BJ99" s="513"/>
      <c r="BK99" s="482"/>
      <c r="BL99" s="437"/>
      <c r="BM99" s="483"/>
      <c r="BN99" s="150"/>
      <c r="BO99" s="514"/>
      <c r="BP99" s="485"/>
      <c r="BQ99" s="483"/>
      <c r="BR99" s="486"/>
      <c r="BS99" s="487"/>
      <c r="BT99" s="485"/>
      <c r="BU99" s="483"/>
      <c r="BV99" s="486"/>
      <c r="BW99" s="487"/>
      <c r="BX99" s="440"/>
      <c r="BY99" s="488"/>
      <c r="BZ99" s="489"/>
      <c r="CA99" s="490"/>
      <c r="CB99" s="491"/>
      <c r="CC99" s="246"/>
      <c r="CD99" s="443"/>
      <c r="CE99" s="150"/>
      <c r="CF99" s="492"/>
      <c r="CG99" s="74"/>
      <c r="CH99" s="74"/>
      <c r="CI99" s="74"/>
      <c r="CJ99" s="74"/>
      <c r="CK99" s="74"/>
      <c r="CL99" s="74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144"/>
      <c r="DB99" s="144"/>
      <c r="DC99" s="31"/>
      <c r="DD99" s="31"/>
      <c r="DE99" s="31"/>
    </row>
    <row r="100" spans="1:111" hidden="1">
      <c r="A100" s="207"/>
      <c r="B100" s="195" t="s">
        <v>195</v>
      </c>
      <c r="C100" s="97" t="s">
        <v>54</v>
      </c>
      <c r="D100" s="31"/>
      <c r="E100" s="31"/>
      <c r="F100" s="31"/>
      <c r="G100" s="31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96"/>
      <c r="Y100" s="197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96"/>
      <c r="AK100" s="198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96"/>
      <c r="AW100" s="198"/>
      <c r="AX100" s="144"/>
      <c r="AY100" s="144"/>
      <c r="AZ100" s="149"/>
      <c r="BA100" s="62">
        <v>238.5</v>
      </c>
      <c r="BB100" s="150"/>
      <c r="BC100" s="62"/>
      <c r="BD100" s="150"/>
      <c r="BE100" s="151"/>
      <c r="BF100" s="149"/>
      <c r="BG100" s="150"/>
      <c r="BH100" s="150"/>
      <c r="BI100" s="151"/>
      <c r="BJ100" s="513"/>
      <c r="BK100" s="482"/>
      <c r="BL100" s="437"/>
      <c r="BM100" s="483"/>
      <c r="BN100" s="150"/>
      <c r="BO100" s="514"/>
      <c r="BP100" s="485"/>
      <c r="BQ100" s="483"/>
      <c r="BR100" s="486"/>
      <c r="BS100" s="487"/>
      <c r="BT100" s="485"/>
      <c r="BU100" s="483"/>
      <c r="BV100" s="486"/>
      <c r="BW100" s="487"/>
      <c r="BX100" s="440"/>
      <c r="BY100" s="488"/>
      <c r="BZ100" s="489"/>
      <c r="CA100" s="490"/>
      <c r="CB100" s="491"/>
      <c r="CC100" s="246"/>
      <c r="CD100" s="443"/>
      <c r="CE100" s="150"/>
      <c r="CF100" s="492"/>
      <c r="CG100" s="74"/>
      <c r="CH100" s="74"/>
      <c r="CI100" s="74"/>
      <c r="CJ100" s="74"/>
      <c r="CK100" s="74"/>
      <c r="CL100" s="74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144"/>
      <c r="DB100" s="144"/>
      <c r="DC100" s="31"/>
      <c r="DD100" s="31"/>
      <c r="DE100" s="31"/>
    </row>
    <row r="101" spans="1:111" hidden="1">
      <c r="A101" s="207"/>
      <c r="B101" s="195" t="s">
        <v>284</v>
      </c>
      <c r="C101" s="97" t="s">
        <v>54</v>
      </c>
      <c r="D101" s="31">
        <v>9150</v>
      </c>
      <c r="E101" s="31">
        <v>10853.2</v>
      </c>
      <c r="F101" s="31">
        <v>10424.14</v>
      </c>
      <c r="G101" s="31">
        <v>10183.280000000001</v>
      </c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96"/>
      <c r="Y101" s="197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96"/>
      <c r="AK101" s="198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96"/>
      <c r="AW101" s="198"/>
      <c r="AX101" s="144"/>
      <c r="AY101" s="144">
        <v>6472.33</v>
      </c>
      <c r="AZ101" s="149"/>
      <c r="BA101" s="62">
        <v>1907.72</v>
      </c>
      <c r="BB101" s="150"/>
      <c r="BC101" s="62"/>
      <c r="BD101" s="150"/>
      <c r="BE101" s="151"/>
      <c r="BF101" s="149">
        <v>229.78</v>
      </c>
      <c r="BG101" s="150"/>
      <c r="BH101" s="150"/>
      <c r="BI101" s="151"/>
      <c r="BJ101" s="513"/>
      <c r="BK101" s="482"/>
      <c r="BL101" s="437"/>
      <c r="BM101" s="483"/>
      <c r="BN101" s="150"/>
      <c r="BO101" s="514"/>
      <c r="BP101" s="485"/>
      <c r="BQ101" s="483"/>
      <c r="BR101" s="486"/>
      <c r="BS101" s="487"/>
      <c r="BT101" s="485"/>
      <c r="BU101" s="483"/>
      <c r="BV101" s="486"/>
      <c r="BW101" s="487"/>
      <c r="BX101" s="440"/>
      <c r="BY101" s="488"/>
      <c r="BZ101" s="489"/>
      <c r="CA101" s="490"/>
      <c r="CB101" s="491"/>
      <c r="CC101" s="246"/>
      <c r="CD101" s="443"/>
      <c r="CE101" s="150"/>
      <c r="CF101" s="492"/>
      <c r="CG101" s="74"/>
      <c r="CH101" s="74"/>
      <c r="CI101" s="74"/>
      <c r="CJ101" s="74"/>
      <c r="CK101" s="74"/>
      <c r="CL101" s="74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18">
        <v>10853.2</v>
      </c>
      <c r="DB101" s="144">
        <f>10853.2+149.52-574.98-3.6</f>
        <v>10424.140000000001</v>
      </c>
      <c r="DC101" s="31">
        <v>8068.8329999999996</v>
      </c>
      <c r="DD101" s="31">
        <v>5478.5</v>
      </c>
      <c r="DE101" s="31">
        <v>8164.8</v>
      </c>
      <c r="DF101" s="770"/>
      <c r="DG101" s="769"/>
    </row>
    <row r="102" spans="1:111" hidden="1">
      <c r="A102" s="207"/>
      <c r="B102" s="195" t="s">
        <v>156</v>
      </c>
      <c r="C102" s="97" t="s">
        <v>54</v>
      </c>
      <c r="D102" s="31">
        <v>1000</v>
      </c>
      <c r="E102" s="31">
        <v>1200</v>
      </c>
      <c r="F102" s="31">
        <v>1227.5999999999999</v>
      </c>
      <c r="G102" s="31">
        <v>1227.5999999999999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96"/>
      <c r="Y102" s="197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96"/>
      <c r="AK102" s="198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96"/>
      <c r="AW102" s="198"/>
      <c r="AX102" s="144"/>
      <c r="AY102" s="144">
        <v>506.9</v>
      </c>
      <c r="AZ102" s="149"/>
      <c r="BA102" s="62"/>
      <c r="BB102" s="150"/>
      <c r="BC102" s="62"/>
      <c r="BD102" s="150"/>
      <c r="BE102" s="151"/>
      <c r="BF102" s="149"/>
      <c r="BG102" s="150"/>
      <c r="BH102" s="150"/>
      <c r="BI102" s="151"/>
      <c r="BJ102" s="513"/>
      <c r="BK102" s="482"/>
      <c r="BL102" s="437"/>
      <c r="BM102" s="483"/>
      <c r="BN102" s="150"/>
      <c r="BO102" s="514"/>
      <c r="BP102" s="485"/>
      <c r="BQ102" s="483"/>
      <c r="BR102" s="486"/>
      <c r="BS102" s="487"/>
      <c r="BT102" s="485"/>
      <c r="BU102" s="483"/>
      <c r="BV102" s="486"/>
      <c r="BW102" s="487"/>
      <c r="BX102" s="440"/>
      <c r="BY102" s="488"/>
      <c r="BZ102" s="489"/>
      <c r="CA102" s="490"/>
      <c r="CB102" s="491"/>
      <c r="CC102" s="246"/>
      <c r="CD102" s="443"/>
      <c r="CE102" s="150"/>
      <c r="CF102" s="492"/>
      <c r="CG102" s="74"/>
      <c r="CH102" s="74"/>
      <c r="CI102" s="74"/>
      <c r="CJ102" s="74"/>
      <c r="CK102" s="74"/>
      <c r="CL102" s="74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18">
        <v>1200</v>
      </c>
      <c r="DB102" s="144">
        <f>1200+75.6-48</f>
        <v>1227.5999999999999</v>
      </c>
      <c r="DC102" s="31">
        <v>1227.5999999999999</v>
      </c>
      <c r="DD102" s="31">
        <v>454</v>
      </c>
      <c r="DE102" s="31"/>
      <c r="DF102" s="768"/>
    </row>
    <row r="103" spans="1:111" hidden="1">
      <c r="A103" s="207"/>
      <c r="B103" s="195" t="s">
        <v>221</v>
      </c>
      <c r="C103" s="97" t="s">
        <v>54</v>
      </c>
      <c r="D103" s="31">
        <v>150</v>
      </c>
      <c r="E103" s="31"/>
      <c r="F103" s="31"/>
      <c r="G103" s="31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96"/>
      <c r="Y103" s="197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96"/>
      <c r="AK103" s="198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96"/>
      <c r="AW103" s="198"/>
      <c r="AX103" s="144"/>
      <c r="AY103" s="144"/>
      <c r="AZ103" s="149"/>
      <c r="BA103" s="62">
        <v>325</v>
      </c>
      <c r="BB103" s="150"/>
      <c r="BC103" s="62">
        <v>325</v>
      </c>
      <c r="BD103" s="150"/>
      <c r="BE103" s="151"/>
      <c r="BF103" s="149"/>
      <c r="BG103" s="150"/>
      <c r="BH103" s="150"/>
      <c r="BI103" s="151"/>
      <c r="BJ103" s="513"/>
      <c r="BK103" s="482"/>
      <c r="BL103" s="437"/>
      <c r="BM103" s="483"/>
      <c r="BN103" s="150"/>
      <c r="BO103" s="514"/>
      <c r="BP103" s="485"/>
      <c r="BQ103" s="483"/>
      <c r="BR103" s="486"/>
      <c r="BS103" s="487"/>
      <c r="BT103" s="485"/>
      <c r="BU103" s="483"/>
      <c r="BV103" s="486"/>
      <c r="BW103" s="487"/>
      <c r="BX103" s="440"/>
      <c r="BY103" s="488"/>
      <c r="BZ103" s="489"/>
      <c r="CA103" s="490"/>
      <c r="CB103" s="491"/>
      <c r="CC103" s="246"/>
      <c r="CD103" s="443"/>
      <c r="CE103" s="150"/>
      <c r="CF103" s="492"/>
      <c r="CG103" s="74"/>
      <c r="CH103" s="74"/>
      <c r="CI103" s="74"/>
      <c r="CJ103" s="74"/>
      <c r="CK103" s="74"/>
      <c r="CL103" s="74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144"/>
      <c r="DB103" s="144"/>
      <c r="DC103" s="31"/>
      <c r="DD103" s="31"/>
      <c r="DE103" s="31"/>
    </row>
    <row r="104" spans="1:111" hidden="1">
      <c r="A104" s="207"/>
      <c r="B104" s="195" t="s">
        <v>222</v>
      </c>
      <c r="C104" s="97" t="s">
        <v>54</v>
      </c>
      <c r="D104" s="31">
        <v>100</v>
      </c>
      <c r="E104" s="31"/>
      <c r="F104" s="31"/>
      <c r="G104" s="31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96"/>
      <c r="Y104" s="197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96"/>
      <c r="AK104" s="198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96"/>
      <c r="AW104" s="198"/>
      <c r="AX104" s="144"/>
      <c r="AY104" s="144">
        <v>90</v>
      </c>
      <c r="AZ104" s="149"/>
      <c r="BA104" s="62">
        <v>45.25</v>
      </c>
      <c r="BB104" s="150"/>
      <c r="BC104" s="62">
        <v>45.25</v>
      </c>
      <c r="BD104" s="150"/>
      <c r="BE104" s="151"/>
      <c r="BF104" s="149"/>
      <c r="BG104" s="150"/>
      <c r="BH104" s="150"/>
      <c r="BI104" s="151"/>
      <c r="BJ104" s="513"/>
      <c r="BK104" s="482"/>
      <c r="BL104" s="437"/>
      <c r="BM104" s="483"/>
      <c r="BN104" s="150"/>
      <c r="BO104" s="514"/>
      <c r="BP104" s="485"/>
      <c r="BQ104" s="483"/>
      <c r="BR104" s="486"/>
      <c r="BS104" s="487"/>
      <c r="BT104" s="485"/>
      <c r="BU104" s="483"/>
      <c r="BV104" s="486"/>
      <c r="BW104" s="487"/>
      <c r="BX104" s="440"/>
      <c r="BY104" s="488"/>
      <c r="BZ104" s="489"/>
      <c r="CA104" s="490"/>
      <c r="CB104" s="491"/>
      <c r="CC104" s="246"/>
      <c r="CD104" s="443"/>
      <c r="CE104" s="150"/>
      <c r="CF104" s="492"/>
      <c r="CG104" s="74"/>
      <c r="CH104" s="74"/>
      <c r="CI104" s="74"/>
      <c r="CJ104" s="74"/>
      <c r="CK104" s="74"/>
      <c r="CL104" s="74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144"/>
      <c r="DB104" s="144"/>
      <c r="DC104" s="31"/>
      <c r="DD104" s="31"/>
      <c r="DE104" s="31"/>
    </row>
    <row r="105" spans="1:111" hidden="1">
      <c r="A105" s="207"/>
      <c r="B105" s="195" t="s">
        <v>223</v>
      </c>
      <c r="C105" s="97" t="s">
        <v>54</v>
      </c>
      <c r="D105" s="31">
        <v>100</v>
      </c>
      <c r="E105" s="31"/>
      <c r="F105" s="31"/>
      <c r="G105" s="31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96"/>
      <c r="Y105" s="197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96"/>
      <c r="AK105" s="198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96"/>
      <c r="AW105" s="198"/>
      <c r="AX105" s="144"/>
      <c r="AY105" s="144"/>
      <c r="AZ105" s="149"/>
      <c r="BA105" s="62">
        <v>45</v>
      </c>
      <c r="BB105" s="150"/>
      <c r="BC105" s="62">
        <v>45</v>
      </c>
      <c r="BD105" s="150"/>
      <c r="BE105" s="151"/>
      <c r="BF105" s="149"/>
      <c r="BG105" s="150"/>
      <c r="BH105" s="150"/>
      <c r="BI105" s="151"/>
      <c r="BJ105" s="513"/>
      <c r="BK105" s="482"/>
      <c r="BL105" s="437"/>
      <c r="BM105" s="483"/>
      <c r="BN105" s="150"/>
      <c r="BO105" s="514"/>
      <c r="BP105" s="485"/>
      <c r="BQ105" s="483"/>
      <c r="BR105" s="486"/>
      <c r="BS105" s="487"/>
      <c r="BT105" s="485"/>
      <c r="BU105" s="483"/>
      <c r="BV105" s="486"/>
      <c r="BW105" s="487"/>
      <c r="BX105" s="440"/>
      <c r="BY105" s="488"/>
      <c r="BZ105" s="489"/>
      <c r="CA105" s="490"/>
      <c r="CB105" s="491"/>
      <c r="CC105" s="246"/>
      <c r="CD105" s="443"/>
      <c r="CE105" s="150"/>
      <c r="CF105" s="492"/>
      <c r="CG105" s="74"/>
      <c r="CH105" s="74"/>
      <c r="CI105" s="74"/>
      <c r="CJ105" s="74"/>
      <c r="CK105" s="74"/>
      <c r="CL105" s="74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144"/>
      <c r="DB105" s="144"/>
      <c r="DC105" s="31"/>
      <c r="DD105" s="31"/>
      <c r="DE105" s="31"/>
    </row>
    <row r="106" spans="1:111" hidden="1">
      <c r="A106" s="207"/>
      <c r="B106" s="195" t="s">
        <v>224</v>
      </c>
      <c r="C106" s="97" t="s">
        <v>54</v>
      </c>
      <c r="D106" s="31"/>
      <c r="E106" s="31"/>
      <c r="F106" s="31"/>
      <c r="G106" s="31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96"/>
      <c r="Y106" s="197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96"/>
      <c r="AK106" s="198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96"/>
      <c r="AW106" s="198"/>
      <c r="AX106" s="144"/>
      <c r="AY106" s="144"/>
      <c r="AZ106" s="149"/>
      <c r="BA106" s="62">
        <v>40</v>
      </c>
      <c r="BB106" s="150"/>
      <c r="BC106" s="62">
        <v>40</v>
      </c>
      <c r="BD106" s="150"/>
      <c r="BE106" s="151"/>
      <c r="BF106" s="149"/>
      <c r="BG106" s="150"/>
      <c r="BH106" s="150"/>
      <c r="BI106" s="151"/>
      <c r="BJ106" s="513"/>
      <c r="BK106" s="482"/>
      <c r="BL106" s="437"/>
      <c r="BM106" s="483"/>
      <c r="BN106" s="150"/>
      <c r="BO106" s="514"/>
      <c r="BP106" s="485"/>
      <c r="BQ106" s="483"/>
      <c r="BR106" s="486"/>
      <c r="BS106" s="487"/>
      <c r="BT106" s="485"/>
      <c r="BU106" s="483"/>
      <c r="BV106" s="486"/>
      <c r="BW106" s="487"/>
      <c r="BX106" s="440"/>
      <c r="BY106" s="488"/>
      <c r="BZ106" s="489"/>
      <c r="CA106" s="490"/>
      <c r="CB106" s="491"/>
      <c r="CC106" s="246"/>
      <c r="CD106" s="443"/>
      <c r="CE106" s="150"/>
      <c r="CF106" s="492"/>
      <c r="CG106" s="74"/>
      <c r="CH106" s="74"/>
      <c r="CI106" s="74"/>
      <c r="CJ106" s="74"/>
      <c r="CK106" s="74"/>
      <c r="CL106" s="74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144"/>
      <c r="DB106" s="144"/>
      <c r="DC106" s="31"/>
      <c r="DD106" s="31"/>
      <c r="DE106" s="31"/>
    </row>
    <row r="107" spans="1:111" hidden="1">
      <c r="A107" s="207"/>
      <c r="B107" s="195" t="s">
        <v>225</v>
      </c>
      <c r="C107" s="97" t="s">
        <v>54</v>
      </c>
      <c r="D107" s="31">
        <v>50</v>
      </c>
      <c r="E107" s="31"/>
      <c r="F107" s="31"/>
      <c r="G107" s="31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96"/>
      <c r="Y107" s="197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96"/>
      <c r="AK107" s="198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96"/>
      <c r="AW107" s="198"/>
      <c r="AX107" s="144"/>
      <c r="AY107" s="144"/>
      <c r="AZ107" s="149"/>
      <c r="BA107" s="62">
        <v>17.5</v>
      </c>
      <c r="BB107" s="150"/>
      <c r="BC107" s="62">
        <v>17.5</v>
      </c>
      <c r="BD107" s="150"/>
      <c r="BE107" s="151"/>
      <c r="BF107" s="149"/>
      <c r="BG107" s="150"/>
      <c r="BH107" s="150"/>
      <c r="BI107" s="151"/>
      <c r="BJ107" s="513"/>
      <c r="BK107" s="482"/>
      <c r="BL107" s="437"/>
      <c r="BM107" s="483"/>
      <c r="BN107" s="150"/>
      <c r="BO107" s="514"/>
      <c r="BP107" s="485"/>
      <c r="BQ107" s="483"/>
      <c r="BR107" s="486"/>
      <c r="BS107" s="487"/>
      <c r="BT107" s="485"/>
      <c r="BU107" s="483"/>
      <c r="BV107" s="486"/>
      <c r="BW107" s="487"/>
      <c r="BX107" s="440"/>
      <c r="BY107" s="488"/>
      <c r="BZ107" s="489"/>
      <c r="CA107" s="490"/>
      <c r="CB107" s="491"/>
      <c r="CC107" s="246"/>
      <c r="CD107" s="443"/>
      <c r="CE107" s="150"/>
      <c r="CF107" s="492"/>
      <c r="CG107" s="74"/>
      <c r="CH107" s="74"/>
      <c r="CI107" s="74"/>
      <c r="CJ107" s="74"/>
      <c r="CK107" s="74"/>
      <c r="CL107" s="74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144"/>
      <c r="DB107" s="144"/>
      <c r="DC107" s="31"/>
      <c r="DD107" s="31"/>
      <c r="DE107" s="31"/>
    </row>
    <row r="108" spans="1:111" hidden="1">
      <c r="A108" s="194" t="s">
        <v>262</v>
      </c>
      <c r="B108" s="199" t="s">
        <v>174</v>
      </c>
      <c r="C108" s="266" t="s">
        <v>54</v>
      </c>
      <c r="D108" s="179">
        <f>SUM(D109:D134)</f>
        <v>267.01</v>
      </c>
      <c r="E108" s="179">
        <f>SUM(E109:E134)</f>
        <v>271.45000000000005</v>
      </c>
      <c r="F108" s="179">
        <f>SUM(F109:F134)</f>
        <v>271.45000000000005</v>
      </c>
      <c r="G108" s="179">
        <f>SUM(G109:G134)</f>
        <v>271.45000000000005</v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1"/>
      <c r="Y108" s="202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1"/>
      <c r="AK108" s="203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1"/>
      <c r="AW108" s="203"/>
      <c r="AX108" s="193"/>
      <c r="AY108" s="193">
        <f>SUM(AY109:AY134)</f>
        <v>174.67</v>
      </c>
      <c r="AZ108" s="204"/>
      <c r="BA108" s="185">
        <f t="shared" ref="BA108:BG108" si="53">SUM(BA109:BA134)</f>
        <v>135.03</v>
      </c>
      <c r="BB108" s="185">
        <f t="shared" si="53"/>
        <v>0</v>
      </c>
      <c r="BC108" s="185">
        <f t="shared" si="53"/>
        <v>34.44</v>
      </c>
      <c r="BD108" s="185">
        <f t="shared" si="53"/>
        <v>0</v>
      </c>
      <c r="BE108" s="186">
        <f t="shared" si="53"/>
        <v>0.47</v>
      </c>
      <c r="BF108" s="184">
        <f t="shared" si="53"/>
        <v>11.88</v>
      </c>
      <c r="BG108" s="185">
        <f t="shared" si="53"/>
        <v>320.49</v>
      </c>
      <c r="BH108" s="205"/>
      <c r="BI108" s="206"/>
      <c r="BJ108" s="435"/>
      <c r="BK108" s="493"/>
      <c r="BL108" s="494"/>
      <c r="BM108" s="495"/>
      <c r="BN108" s="205"/>
      <c r="BO108" s="484"/>
      <c r="BP108" s="496"/>
      <c r="BQ108" s="495"/>
      <c r="BR108" s="497"/>
      <c r="BS108" s="498"/>
      <c r="BT108" s="496"/>
      <c r="BU108" s="495"/>
      <c r="BV108" s="497"/>
      <c r="BW108" s="498"/>
      <c r="BX108" s="499"/>
      <c r="BY108" s="500"/>
      <c r="BZ108" s="501"/>
      <c r="CA108" s="502"/>
      <c r="CB108" s="503"/>
      <c r="CC108" s="282"/>
      <c r="CD108" s="504"/>
      <c r="CE108" s="205"/>
      <c r="CF108" s="505"/>
      <c r="CG108" s="465"/>
      <c r="CH108" s="465"/>
      <c r="CI108" s="465"/>
      <c r="CJ108" s="465"/>
      <c r="CK108" s="465"/>
      <c r="CL108" s="465"/>
      <c r="CM108" s="466"/>
      <c r="CN108" s="466"/>
      <c r="CO108" s="466"/>
      <c r="CP108" s="466"/>
      <c r="CQ108" s="466"/>
      <c r="CR108" s="466"/>
      <c r="CS108" s="466"/>
      <c r="CT108" s="466"/>
      <c r="CU108" s="466"/>
      <c r="CV108" s="466"/>
      <c r="CW108" s="466"/>
      <c r="CX108" s="466"/>
      <c r="CY108" s="466"/>
      <c r="CZ108" s="466"/>
      <c r="DA108" s="193">
        <f>SUM(DA109:DA134)</f>
        <v>271.45000000000005</v>
      </c>
      <c r="DB108" s="193">
        <f>SUM(DB109:DB134)</f>
        <v>186.54</v>
      </c>
      <c r="DC108" s="179">
        <f>SUM(DC109:DC134)</f>
        <v>288.45000000000005</v>
      </c>
      <c r="DD108" s="179">
        <f>SUM(DD109:DD134)</f>
        <v>122.78</v>
      </c>
      <c r="DE108" s="179">
        <f>SUM(DE109:DE134)</f>
        <v>288.45000000000005</v>
      </c>
    </row>
    <row r="109" spans="1:111" hidden="1">
      <c r="A109" s="47"/>
      <c r="B109" s="187" t="s">
        <v>156</v>
      </c>
      <c r="C109" s="97" t="s">
        <v>54</v>
      </c>
      <c r="D109" s="31"/>
      <c r="E109" s="31"/>
      <c r="F109" s="31"/>
      <c r="G109" s="31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51"/>
      <c r="Y109" s="55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51"/>
      <c r="AK109" s="56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51"/>
      <c r="AW109" s="56"/>
      <c r="AX109" s="31"/>
      <c r="AY109" s="144"/>
      <c r="AZ109" s="109"/>
      <c r="BA109" s="62"/>
      <c r="BB109" s="62"/>
      <c r="BC109" s="62"/>
      <c r="BD109" s="62"/>
      <c r="BE109" s="110"/>
      <c r="BF109" s="109"/>
      <c r="BG109" s="62">
        <v>15.75</v>
      </c>
      <c r="BH109" s="62"/>
      <c r="BI109" s="110"/>
      <c r="BJ109" s="59"/>
      <c r="BK109" s="46"/>
      <c r="BL109" s="428"/>
      <c r="BM109" s="61"/>
      <c r="BN109" s="399"/>
      <c r="BO109" s="63"/>
      <c r="BP109" s="64"/>
      <c r="BQ109" s="61"/>
      <c r="BR109" s="479"/>
      <c r="BS109" s="66"/>
      <c r="BT109" s="64"/>
      <c r="BU109" s="61"/>
      <c r="BV109" s="479"/>
      <c r="BW109" s="66"/>
      <c r="BX109" s="431"/>
      <c r="BY109" s="68"/>
      <c r="BZ109" s="69"/>
      <c r="CA109" s="61"/>
      <c r="CB109" s="71"/>
      <c r="CC109" s="72"/>
      <c r="CD109" s="434"/>
      <c r="CE109" s="62"/>
      <c r="CF109" s="73"/>
      <c r="CG109" s="74"/>
      <c r="CH109" s="74"/>
      <c r="CI109" s="74"/>
      <c r="CJ109" s="74"/>
      <c r="CK109" s="74"/>
      <c r="CL109" s="74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144"/>
      <c r="DB109" s="144"/>
      <c r="DC109" s="31"/>
      <c r="DD109" s="31"/>
      <c r="DE109" s="31"/>
    </row>
    <row r="110" spans="1:111" hidden="1">
      <c r="A110" s="47"/>
      <c r="B110" s="187" t="s">
        <v>226</v>
      </c>
      <c r="C110" s="97" t="s">
        <v>54</v>
      </c>
      <c r="D110" s="31"/>
      <c r="E110" s="31"/>
      <c r="F110" s="31"/>
      <c r="G110" s="31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51"/>
      <c r="Y110" s="55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51"/>
      <c r="AK110" s="56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51"/>
      <c r="AW110" s="56"/>
      <c r="AX110" s="31"/>
      <c r="AY110" s="144"/>
      <c r="AZ110" s="109"/>
      <c r="BA110" s="62"/>
      <c r="BB110" s="62"/>
      <c r="BC110" s="62"/>
      <c r="BD110" s="62"/>
      <c r="BE110" s="110"/>
      <c r="BF110" s="109"/>
      <c r="BG110" s="62">
        <v>27.94</v>
      </c>
      <c r="BH110" s="62"/>
      <c r="BI110" s="110"/>
      <c r="BJ110" s="59"/>
      <c r="BK110" s="46"/>
      <c r="BL110" s="428"/>
      <c r="BM110" s="61"/>
      <c r="BN110" s="399"/>
      <c r="BO110" s="63"/>
      <c r="BP110" s="64"/>
      <c r="BQ110" s="61"/>
      <c r="BR110" s="479"/>
      <c r="BS110" s="66"/>
      <c r="BT110" s="64"/>
      <c r="BU110" s="61"/>
      <c r="BV110" s="479"/>
      <c r="BW110" s="66"/>
      <c r="BX110" s="431"/>
      <c r="BY110" s="68"/>
      <c r="BZ110" s="69"/>
      <c r="CA110" s="61"/>
      <c r="CB110" s="71"/>
      <c r="CC110" s="72"/>
      <c r="CD110" s="434"/>
      <c r="CE110" s="62"/>
      <c r="CF110" s="73"/>
      <c r="CG110" s="74"/>
      <c r="CH110" s="74"/>
      <c r="CI110" s="74"/>
      <c r="CJ110" s="74"/>
      <c r="CK110" s="74"/>
      <c r="CL110" s="74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144"/>
      <c r="DB110" s="144"/>
      <c r="DC110" s="31"/>
      <c r="DD110" s="31"/>
      <c r="DE110" s="31"/>
    </row>
    <row r="111" spans="1:111" hidden="1">
      <c r="A111" s="47"/>
      <c r="B111" s="187" t="s">
        <v>227</v>
      </c>
      <c r="C111" s="97" t="s">
        <v>54</v>
      </c>
      <c r="D111" s="31"/>
      <c r="E111" s="31"/>
      <c r="F111" s="31"/>
      <c r="G111" s="31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51"/>
      <c r="Y111" s="55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51"/>
      <c r="AK111" s="56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51"/>
      <c r="AW111" s="56"/>
      <c r="AX111" s="31"/>
      <c r="AY111" s="144">
        <v>10.08</v>
      </c>
      <c r="AZ111" s="109"/>
      <c r="BA111" s="62"/>
      <c r="BB111" s="62"/>
      <c r="BC111" s="62"/>
      <c r="BD111" s="62"/>
      <c r="BE111" s="110"/>
      <c r="BF111" s="109"/>
      <c r="BG111" s="62">
        <v>3.36</v>
      </c>
      <c r="BH111" s="62"/>
      <c r="BI111" s="110"/>
      <c r="BJ111" s="59"/>
      <c r="BK111" s="46"/>
      <c r="BL111" s="428"/>
      <c r="BM111" s="61"/>
      <c r="BN111" s="399"/>
      <c r="BO111" s="63"/>
      <c r="BP111" s="64"/>
      <c r="BQ111" s="61"/>
      <c r="BR111" s="479"/>
      <c r="BS111" s="66"/>
      <c r="BT111" s="64"/>
      <c r="BU111" s="61"/>
      <c r="BV111" s="479"/>
      <c r="BW111" s="66"/>
      <c r="BX111" s="431"/>
      <c r="BY111" s="68"/>
      <c r="BZ111" s="69"/>
      <c r="CA111" s="61"/>
      <c r="CB111" s="71"/>
      <c r="CC111" s="72"/>
      <c r="CD111" s="434"/>
      <c r="CE111" s="62"/>
      <c r="CF111" s="73"/>
      <c r="CG111" s="74"/>
      <c r="CH111" s="74"/>
      <c r="CI111" s="74"/>
      <c r="CJ111" s="74"/>
      <c r="CK111" s="74"/>
      <c r="CL111" s="74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144"/>
      <c r="DB111" s="144">
        <v>10.08</v>
      </c>
      <c r="DC111" s="31">
        <v>11</v>
      </c>
      <c r="DD111" s="31">
        <v>11</v>
      </c>
      <c r="DE111" s="31">
        <v>11</v>
      </c>
    </row>
    <row r="112" spans="1:111" ht="24" hidden="1">
      <c r="A112" s="47"/>
      <c r="B112" s="187" t="s">
        <v>228</v>
      </c>
      <c r="C112" s="97" t="s">
        <v>54</v>
      </c>
      <c r="D112" s="31"/>
      <c r="E112" s="31"/>
      <c r="F112" s="31"/>
      <c r="G112" s="31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51"/>
      <c r="Y112" s="55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51"/>
      <c r="AK112" s="56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51"/>
      <c r="AW112" s="56"/>
      <c r="AX112" s="31"/>
      <c r="AY112" s="144"/>
      <c r="AZ112" s="109"/>
      <c r="BA112" s="62"/>
      <c r="BB112" s="62"/>
      <c r="BC112" s="62"/>
      <c r="BD112" s="62"/>
      <c r="BE112" s="110"/>
      <c r="BF112" s="109"/>
      <c r="BG112" s="62">
        <v>15.63</v>
      </c>
      <c r="BH112" s="62"/>
      <c r="BI112" s="110"/>
      <c r="BJ112" s="59"/>
      <c r="BK112" s="46"/>
      <c r="BL112" s="428"/>
      <c r="BM112" s="61"/>
      <c r="BN112" s="399"/>
      <c r="BO112" s="63"/>
      <c r="BP112" s="64"/>
      <c r="BQ112" s="61"/>
      <c r="BR112" s="479"/>
      <c r="BS112" s="66"/>
      <c r="BT112" s="64"/>
      <c r="BU112" s="61"/>
      <c r="BV112" s="479"/>
      <c r="BW112" s="66"/>
      <c r="BX112" s="431"/>
      <c r="BY112" s="68"/>
      <c r="BZ112" s="69"/>
      <c r="CA112" s="61"/>
      <c r="CB112" s="71"/>
      <c r="CC112" s="72"/>
      <c r="CD112" s="434"/>
      <c r="CE112" s="62"/>
      <c r="CF112" s="73"/>
      <c r="CG112" s="74"/>
      <c r="CH112" s="74"/>
      <c r="CI112" s="74"/>
      <c r="CJ112" s="74"/>
      <c r="CK112" s="74"/>
      <c r="CL112" s="74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144"/>
      <c r="DB112" s="144"/>
      <c r="DC112" s="31"/>
      <c r="DD112" s="31"/>
      <c r="DE112" s="31"/>
    </row>
    <row r="113" spans="1:109" hidden="1">
      <c r="A113" s="47"/>
      <c r="B113" s="187" t="s">
        <v>307</v>
      </c>
      <c r="C113" s="97" t="s">
        <v>54</v>
      </c>
      <c r="D113" s="31"/>
      <c r="E113" s="31"/>
      <c r="F113" s="31"/>
      <c r="G113" s="31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51"/>
      <c r="Y113" s="55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51"/>
      <c r="AK113" s="56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51"/>
      <c r="AW113" s="56"/>
      <c r="AX113" s="31"/>
      <c r="AY113" s="144">
        <v>24</v>
      </c>
      <c r="AZ113" s="109"/>
      <c r="BA113" s="62"/>
      <c r="BB113" s="62"/>
      <c r="BC113" s="62"/>
      <c r="BD113" s="62"/>
      <c r="BE113" s="110"/>
      <c r="BF113" s="109"/>
      <c r="BG113" s="62"/>
      <c r="BH113" s="62"/>
      <c r="BI113" s="110"/>
      <c r="BJ113" s="59"/>
      <c r="BK113" s="46"/>
      <c r="BL113" s="428"/>
      <c r="BM113" s="61"/>
      <c r="BN113" s="399"/>
      <c r="BO113" s="63"/>
      <c r="BP113" s="64"/>
      <c r="BQ113" s="61"/>
      <c r="BR113" s="479"/>
      <c r="BS113" s="66"/>
      <c r="BT113" s="64"/>
      <c r="BU113" s="61"/>
      <c r="BV113" s="479"/>
      <c r="BW113" s="66"/>
      <c r="BX113" s="431"/>
      <c r="BY113" s="68"/>
      <c r="BZ113" s="69"/>
      <c r="CA113" s="61"/>
      <c r="CB113" s="71"/>
      <c r="CC113" s="72"/>
      <c r="CD113" s="434"/>
      <c r="CE113" s="62"/>
      <c r="CF113" s="73"/>
      <c r="CG113" s="74"/>
      <c r="CH113" s="74"/>
      <c r="CI113" s="74"/>
      <c r="CJ113" s="74"/>
      <c r="CK113" s="74"/>
      <c r="CL113" s="74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144"/>
      <c r="DB113" s="144"/>
      <c r="DC113" s="31"/>
      <c r="DD113" s="31"/>
      <c r="DE113" s="31"/>
    </row>
    <row r="114" spans="1:109" hidden="1">
      <c r="A114" s="47"/>
      <c r="B114" s="187" t="s">
        <v>190</v>
      </c>
      <c r="C114" s="97" t="s">
        <v>54</v>
      </c>
      <c r="D114" s="31"/>
      <c r="E114" s="31"/>
      <c r="F114" s="31"/>
      <c r="G114" s="31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51"/>
      <c r="Y114" s="55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51"/>
      <c r="AK114" s="56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51"/>
      <c r="AW114" s="56"/>
      <c r="AX114" s="31"/>
      <c r="AY114" s="144"/>
      <c r="AZ114" s="109"/>
      <c r="BA114" s="62"/>
      <c r="BB114" s="62"/>
      <c r="BC114" s="62"/>
      <c r="BD114" s="62"/>
      <c r="BE114" s="110"/>
      <c r="BF114" s="109"/>
      <c r="BG114" s="62">
        <v>1.3</v>
      </c>
      <c r="BH114" s="62"/>
      <c r="BI114" s="110"/>
      <c r="BJ114" s="59"/>
      <c r="BK114" s="46"/>
      <c r="BL114" s="428"/>
      <c r="BM114" s="61"/>
      <c r="BN114" s="399"/>
      <c r="BO114" s="63"/>
      <c r="BP114" s="64"/>
      <c r="BQ114" s="61"/>
      <c r="BR114" s="479"/>
      <c r="BS114" s="66"/>
      <c r="BT114" s="64"/>
      <c r="BU114" s="61"/>
      <c r="BV114" s="479"/>
      <c r="BW114" s="66"/>
      <c r="BX114" s="431"/>
      <c r="BY114" s="68"/>
      <c r="BZ114" s="69"/>
      <c r="CA114" s="61"/>
      <c r="CB114" s="71"/>
      <c r="CC114" s="72"/>
      <c r="CD114" s="434"/>
      <c r="CE114" s="62"/>
      <c r="CF114" s="73"/>
      <c r="CG114" s="74"/>
      <c r="CH114" s="74"/>
      <c r="CI114" s="74"/>
      <c r="CJ114" s="74"/>
      <c r="CK114" s="74"/>
      <c r="CL114" s="74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144"/>
      <c r="DB114" s="144"/>
      <c r="DC114" s="31"/>
      <c r="DD114" s="31"/>
      <c r="DE114" s="31"/>
    </row>
    <row r="115" spans="1:109" hidden="1">
      <c r="A115" s="47"/>
      <c r="B115" s="187" t="s">
        <v>157</v>
      </c>
      <c r="C115" s="97" t="s">
        <v>54</v>
      </c>
      <c r="D115" s="31"/>
      <c r="E115" s="31"/>
      <c r="F115" s="31"/>
      <c r="G115" s="31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51"/>
      <c r="Y115" s="55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51"/>
      <c r="AK115" s="56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51"/>
      <c r="AW115" s="56"/>
      <c r="AX115" s="31"/>
      <c r="AY115" s="144">
        <v>6.55</v>
      </c>
      <c r="AZ115" s="109"/>
      <c r="BA115" s="62"/>
      <c r="BB115" s="62"/>
      <c r="BC115" s="62"/>
      <c r="BD115" s="62"/>
      <c r="BE115" s="110"/>
      <c r="BF115" s="109"/>
      <c r="BG115" s="62">
        <v>7.4</v>
      </c>
      <c r="BH115" s="62"/>
      <c r="BI115" s="110"/>
      <c r="BJ115" s="59"/>
      <c r="BK115" s="46"/>
      <c r="BL115" s="428"/>
      <c r="BM115" s="61"/>
      <c r="BN115" s="399"/>
      <c r="BO115" s="63"/>
      <c r="BP115" s="64"/>
      <c r="BQ115" s="61"/>
      <c r="BR115" s="479"/>
      <c r="BS115" s="66"/>
      <c r="BT115" s="64"/>
      <c r="BU115" s="61"/>
      <c r="BV115" s="479"/>
      <c r="BW115" s="66"/>
      <c r="BX115" s="431"/>
      <c r="BY115" s="68"/>
      <c r="BZ115" s="69"/>
      <c r="CA115" s="61"/>
      <c r="CB115" s="71"/>
      <c r="CC115" s="72"/>
      <c r="CD115" s="434"/>
      <c r="CE115" s="62"/>
      <c r="CF115" s="73"/>
      <c r="CG115" s="74"/>
      <c r="CH115" s="74"/>
      <c r="CI115" s="74"/>
      <c r="CJ115" s="74"/>
      <c r="CK115" s="74"/>
      <c r="CL115" s="74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144"/>
      <c r="DB115" s="144"/>
      <c r="DC115" s="31"/>
      <c r="DD115" s="31"/>
      <c r="DE115" s="31"/>
    </row>
    <row r="116" spans="1:109" hidden="1">
      <c r="A116" s="47"/>
      <c r="B116" s="187" t="s">
        <v>191</v>
      </c>
      <c r="C116" s="97" t="s">
        <v>54</v>
      </c>
      <c r="D116" s="31"/>
      <c r="E116" s="31"/>
      <c r="F116" s="31"/>
      <c r="G116" s="31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51"/>
      <c r="Y116" s="55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51"/>
      <c r="AK116" s="56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51"/>
      <c r="AW116" s="56"/>
      <c r="AX116" s="31"/>
      <c r="AY116" s="144"/>
      <c r="AZ116" s="109"/>
      <c r="BA116" s="62"/>
      <c r="BB116" s="62"/>
      <c r="BC116" s="62"/>
      <c r="BD116" s="62"/>
      <c r="BE116" s="110"/>
      <c r="BF116" s="109"/>
      <c r="BG116" s="62">
        <v>6.6</v>
      </c>
      <c r="BH116" s="62"/>
      <c r="BI116" s="110"/>
      <c r="BJ116" s="59"/>
      <c r="BK116" s="46"/>
      <c r="BL116" s="428"/>
      <c r="BM116" s="61"/>
      <c r="BN116" s="399"/>
      <c r="BO116" s="63"/>
      <c r="BP116" s="64"/>
      <c r="BQ116" s="61"/>
      <c r="BR116" s="479"/>
      <c r="BS116" s="66"/>
      <c r="BT116" s="64"/>
      <c r="BU116" s="61"/>
      <c r="BV116" s="479"/>
      <c r="BW116" s="66"/>
      <c r="BX116" s="431"/>
      <c r="BY116" s="68"/>
      <c r="BZ116" s="69"/>
      <c r="CA116" s="61"/>
      <c r="CB116" s="71"/>
      <c r="CC116" s="72"/>
      <c r="CD116" s="434"/>
      <c r="CE116" s="62"/>
      <c r="CF116" s="73"/>
      <c r="CG116" s="74"/>
      <c r="CH116" s="74"/>
      <c r="CI116" s="74"/>
      <c r="CJ116" s="74"/>
      <c r="CK116" s="74"/>
      <c r="CL116" s="74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144"/>
      <c r="DB116" s="144"/>
      <c r="DC116" s="31"/>
      <c r="DD116" s="31"/>
      <c r="DE116" s="31"/>
    </row>
    <row r="117" spans="1:109" ht="24" hidden="1">
      <c r="A117" s="47"/>
      <c r="B117" s="187" t="s">
        <v>205</v>
      </c>
      <c r="C117" s="97" t="s">
        <v>54</v>
      </c>
      <c r="D117" s="31"/>
      <c r="E117" s="31">
        <v>91.8</v>
      </c>
      <c r="F117" s="31">
        <v>91.8</v>
      </c>
      <c r="G117" s="31">
        <v>91.8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51"/>
      <c r="Y117" s="55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51"/>
      <c r="AK117" s="56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51"/>
      <c r="AW117" s="56"/>
      <c r="AX117" s="31"/>
      <c r="AY117" s="144"/>
      <c r="AZ117" s="109"/>
      <c r="BA117" s="62"/>
      <c r="BB117" s="62"/>
      <c r="BC117" s="62"/>
      <c r="BD117" s="62"/>
      <c r="BE117" s="110"/>
      <c r="BF117" s="109"/>
      <c r="BG117" s="62">
        <v>86.61</v>
      </c>
      <c r="BH117" s="62"/>
      <c r="BI117" s="110"/>
      <c r="BJ117" s="59"/>
      <c r="BK117" s="46"/>
      <c r="BL117" s="428"/>
      <c r="BM117" s="61"/>
      <c r="BN117" s="399"/>
      <c r="BO117" s="63"/>
      <c r="BP117" s="64"/>
      <c r="BQ117" s="61"/>
      <c r="BR117" s="479"/>
      <c r="BS117" s="66"/>
      <c r="BT117" s="64"/>
      <c r="BU117" s="61"/>
      <c r="BV117" s="479"/>
      <c r="BW117" s="66"/>
      <c r="BX117" s="431"/>
      <c r="BY117" s="68"/>
      <c r="BZ117" s="69"/>
      <c r="CA117" s="61"/>
      <c r="CB117" s="71"/>
      <c r="CC117" s="72"/>
      <c r="CD117" s="434"/>
      <c r="CE117" s="62"/>
      <c r="CF117" s="73"/>
      <c r="CG117" s="74"/>
      <c r="CH117" s="74"/>
      <c r="CI117" s="74"/>
      <c r="CJ117" s="74"/>
      <c r="CK117" s="74"/>
      <c r="CL117" s="74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144">
        <v>91.8</v>
      </c>
      <c r="DB117" s="144">
        <v>91.8</v>
      </c>
      <c r="DC117" s="31">
        <v>91.8</v>
      </c>
      <c r="DD117" s="31"/>
      <c r="DE117" s="31">
        <v>91.8</v>
      </c>
    </row>
    <row r="118" spans="1:109" ht="24" hidden="1">
      <c r="A118" s="47"/>
      <c r="B118" s="187" t="s">
        <v>308</v>
      </c>
      <c r="C118" s="97" t="s">
        <v>54</v>
      </c>
      <c r="D118" s="31"/>
      <c r="E118" s="31"/>
      <c r="F118" s="31"/>
      <c r="G118" s="31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51"/>
      <c r="Y118" s="55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51"/>
      <c r="AK118" s="56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51"/>
      <c r="AW118" s="56"/>
      <c r="AX118" s="31"/>
      <c r="AY118" s="144">
        <v>5.52</v>
      </c>
      <c r="AZ118" s="109"/>
      <c r="BA118" s="62"/>
      <c r="BB118" s="62"/>
      <c r="BC118" s="62"/>
      <c r="BD118" s="62"/>
      <c r="BE118" s="110"/>
      <c r="BF118" s="109"/>
      <c r="BG118" s="62"/>
      <c r="BH118" s="62"/>
      <c r="BI118" s="110"/>
      <c r="BJ118" s="59"/>
      <c r="BK118" s="46"/>
      <c r="BL118" s="428"/>
      <c r="BM118" s="61"/>
      <c r="BN118" s="399"/>
      <c r="BO118" s="63"/>
      <c r="BP118" s="64"/>
      <c r="BQ118" s="61"/>
      <c r="BR118" s="479"/>
      <c r="BS118" s="66"/>
      <c r="BT118" s="64"/>
      <c r="BU118" s="61"/>
      <c r="BV118" s="479"/>
      <c r="BW118" s="66"/>
      <c r="BX118" s="431"/>
      <c r="BY118" s="68"/>
      <c r="BZ118" s="69"/>
      <c r="CA118" s="61"/>
      <c r="CB118" s="71"/>
      <c r="CC118" s="72"/>
      <c r="CD118" s="434"/>
      <c r="CE118" s="62"/>
      <c r="CF118" s="73"/>
      <c r="CG118" s="74"/>
      <c r="CH118" s="74"/>
      <c r="CI118" s="74"/>
      <c r="CJ118" s="74"/>
      <c r="CK118" s="74"/>
      <c r="CL118" s="74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144"/>
      <c r="DB118" s="144"/>
      <c r="DC118" s="31"/>
      <c r="DD118" s="31"/>
      <c r="DE118" s="31"/>
    </row>
    <row r="119" spans="1:109" hidden="1">
      <c r="A119" s="47"/>
      <c r="B119" s="187" t="s">
        <v>206</v>
      </c>
      <c r="C119" s="97" t="s">
        <v>54</v>
      </c>
      <c r="D119" s="31"/>
      <c r="E119" s="31"/>
      <c r="F119" s="31"/>
      <c r="G119" s="31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51"/>
      <c r="Y119" s="55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51"/>
      <c r="AK119" s="56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51"/>
      <c r="AW119" s="56"/>
      <c r="AX119" s="31"/>
      <c r="AY119" s="144"/>
      <c r="AZ119" s="109"/>
      <c r="BA119" s="62"/>
      <c r="BB119" s="62"/>
      <c r="BC119" s="62"/>
      <c r="BD119" s="62"/>
      <c r="BE119" s="110"/>
      <c r="BF119" s="109"/>
      <c r="BG119" s="62">
        <v>1.5</v>
      </c>
      <c r="BH119" s="62"/>
      <c r="BI119" s="110"/>
      <c r="BJ119" s="59"/>
      <c r="BK119" s="46"/>
      <c r="BL119" s="428"/>
      <c r="BM119" s="61"/>
      <c r="BN119" s="399"/>
      <c r="BO119" s="63"/>
      <c r="BP119" s="64"/>
      <c r="BQ119" s="61"/>
      <c r="BR119" s="479"/>
      <c r="BS119" s="66"/>
      <c r="BT119" s="64"/>
      <c r="BU119" s="61"/>
      <c r="BV119" s="479"/>
      <c r="BW119" s="66"/>
      <c r="BX119" s="431"/>
      <c r="BY119" s="68"/>
      <c r="BZ119" s="69"/>
      <c r="CA119" s="61"/>
      <c r="CB119" s="71"/>
      <c r="CC119" s="72"/>
      <c r="CD119" s="434"/>
      <c r="CE119" s="62"/>
      <c r="CF119" s="73"/>
      <c r="CG119" s="74"/>
      <c r="CH119" s="74"/>
      <c r="CI119" s="74"/>
      <c r="CJ119" s="74"/>
      <c r="CK119" s="74"/>
      <c r="CL119" s="74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144"/>
      <c r="DB119" s="144"/>
      <c r="DC119" s="31"/>
      <c r="DD119" s="31"/>
      <c r="DE119" s="31"/>
    </row>
    <row r="120" spans="1:109" hidden="1">
      <c r="A120" s="177"/>
      <c r="B120" s="187" t="s">
        <v>117</v>
      </c>
      <c r="C120" s="97" t="s">
        <v>54</v>
      </c>
      <c r="D120" s="31">
        <v>3.65</v>
      </c>
      <c r="E120" s="31">
        <v>3.65</v>
      </c>
      <c r="F120" s="31">
        <v>3.65</v>
      </c>
      <c r="G120" s="31">
        <v>3.65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54"/>
      <c r="Y120" s="55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54"/>
      <c r="AK120" s="56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54"/>
      <c r="AW120" s="56"/>
      <c r="AX120" s="179"/>
      <c r="AY120" s="144"/>
      <c r="AZ120" s="184"/>
      <c r="BA120" s="62">
        <v>3.49</v>
      </c>
      <c r="BB120" s="62"/>
      <c r="BC120" s="62"/>
      <c r="BD120" s="62"/>
      <c r="BE120" s="110"/>
      <c r="BF120" s="109"/>
      <c r="BG120" s="62"/>
      <c r="BH120" s="62"/>
      <c r="BI120" s="110"/>
      <c r="BJ120" s="426"/>
      <c r="BK120" s="46"/>
      <c r="BL120" s="428"/>
      <c r="BM120" s="61"/>
      <c r="BN120" s="62"/>
      <c r="BO120" s="470"/>
      <c r="BP120" s="64"/>
      <c r="BQ120" s="61"/>
      <c r="BR120" s="65"/>
      <c r="BS120" s="66"/>
      <c r="BT120" s="64"/>
      <c r="BU120" s="61"/>
      <c r="BV120" s="65"/>
      <c r="BW120" s="66"/>
      <c r="BX120" s="431"/>
      <c r="BY120" s="68"/>
      <c r="BZ120" s="69"/>
      <c r="CA120" s="70"/>
      <c r="CB120" s="71"/>
      <c r="CC120" s="72"/>
      <c r="CD120" s="434"/>
      <c r="CE120" s="62"/>
      <c r="CF120" s="73"/>
      <c r="CG120" s="74"/>
      <c r="CH120" s="74"/>
      <c r="CI120" s="74"/>
      <c r="CJ120" s="74"/>
      <c r="CK120" s="74"/>
      <c r="CL120" s="74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144">
        <v>3.65</v>
      </c>
      <c r="DB120" s="144">
        <v>3.65</v>
      </c>
      <c r="DC120" s="31">
        <v>3.65</v>
      </c>
      <c r="DD120" s="31"/>
      <c r="DE120" s="31">
        <v>3.65</v>
      </c>
    </row>
    <row r="121" spans="1:109" hidden="1">
      <c r="A121" s="177"/>
      <c r="B121" s="187" t="s">
        <v>118</v>
      </c>
      <c r="C121" s="97" t="s">
        <v>54</v>
      </c>
      <c r="D121" s="31">
        <v>0.16</v>
      </c>
      <c r="E121" s="31">
        <v>0.16</v>
      </c>
      <c r="F121" s="31">
        <v>0.16</v>
      </c>
      <c r="G121" s="31">
        <v>0.16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54"/>
      <c r="Y121" s="55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54"/>
      <c r="AK121" s="56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54"/>
      <c r="AW121" s="56"/>
      <c r="AX121" s="179"/>
      <c r="AY121" s="144"/>
      <c r="AZ121" s="184"/>
      <c r="BA121" s="62">
        <v>0.15</v>
      </c>
      <c r="BB121" s="62"/>
      <c r="BC121" s="62"/>
      <c r="BD121" s="62"/>
      <c r="BE121" s="110"/>
      <c r="BF121" s="109"/>
      <c r="BG121" s="62"/>
      <c r="BH121" s="62"/>
      <c r="BI121" s="110"/>
      <c r="BJ121" s="426"/>
      <c r="BK121" s="46"/>
      <c r="BL121" s="428"/>
      <c r="BM121" s="61"/>
      <c r="BN121" s="62"/>
      <c r="BO121" s="470"/>
      <c r="BP121" s="64"/>
      <c r="BQ121" s="61"/>
      <c r="BR121" s="65"/>
      <c r="BS121" s="66"/>
      <c r="BT121" s="64"/>
      <c r="BU121" s="61"/>
      <c r="BV121" s="65"/>
      <c r="BW121" s="66"/>
      <c r="BX121" s="431"/>
      <c r="BY121" s="68"/>
      <c r="BZ121" s="69"/>
      <c r="CA121" s="70"/>
      <c r="CB121" s="71"/>
      <c r="CC121" s="72"/>
      <c r="CD121" s="434"/>
      <c r="CE121" s="62"/>
      <c r="CF121" s="73"/>
      <c r="CG121" s="74"/>
      <c r="CH121" s="74"/>
      <c r="CI121" s="74"/>
      <c r="CJ121" s="74"/>
      <c r="CK121" s="74"/>
      <c r="CL121" s="74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144">
        <v>0.16</v>
      </c>
      <c r="DB121" s="144">
        <v>0.16</v>
      </c>
      <c r="DC121" s="31">
        <v>0.16</v>
      </c>
      <c r="DD121" s="31"/>
      <c r="DE121" s="31">
        <v>0.16</v>
      </c>
    </row>
    <row r="122" spans="1:109" hidden="1">
      <c r="A122" s="177"/>
      <c r="B122" s="187" t="s">
        <v>10</v>
      </c>
      <c r="C122" s="97" t="s">
        <v>54</v>
      </c>
      <c r="D122" s="31">
        <v>135</v>
      </c>
      <c r="E122" s="31">
        <v>134.99</v>
      </c>
      <c r="F122" s="31">
        <v>134.99</v>
      </c>
      <c r="G122" s="31">
        <v>134.99</v>
      </c>
      <c r="H122" s="134"/>
      <c r="I122" s="134"/>
      <c r="J122" s="134"/>
      <c r="K122" s="134"/>
      <c r="L122" s="134"/>
      <c r="M122" s="134">
        <v>9.91</v>
      </c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54"/>
      <c r="Y122" s="55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54"/>
      <c r="AK122" s="56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54"/>
      <c r="AW122" s="56"/>
      <c r="AX122" s="179"/>
      <c r="AY122" s="144">
        <v>30.77</v>
      </c>
      <c r="AZ122" s="184"/>
      <c r="BA122" s="62">
        <v>19.239999999999998</v>
      </c>
      <c r="BB122" s="62"/>
      <c r="BC122" s="62">
        <v>2.4</v>
      </c>
      <c r="BD122" s="62"/>
      <c r="BE122" s="110">
        <v>0.37</v>
      </c>
      <c r="BF122" s="109">
        <v>0.21</v>
      </c>
      <c r="BG122" s="62"/>
      <c r="BH122" s="62"/>
      <c r="BI122" s="110"/>
      <c r="BJ122" s="426">
        <f>BA122-AZ122</f>
        <v>19.239999999999998</v>
      </c>
      <c r="BK122" s="46"/>
      <c r="BL122" s="428"/>
      <c r="BM122" s="61"/>
      <c r="BN122" s="62"/>
      <c r="BO122" s="470"/>
      <c r="BP122" s="64"/>
      <c r="BQ122" s="61"/>
      <c r="BR122" s="65"/>
      <c r="BS122" s="66"/>
      <c r="BT122" s="64"/>
      <c r="BU122" s="61"/>
      <c r="BV122" s="65"/>
      <c r="BW122" s="66"/>
      <c r="BX122" s="431"/>
      <c r="BY122" s="68"/>
      <c r="BZ122" s="69">
        <f>M122+BM122+BQ122+BU122</f>
        <v>9.91</v>
      </c>
      <c r="CA122" s="70"/>
      <c r="CB122" s="71"/>
      <c r="CC122" s="72">
        <f>BZ122-E122</f>
        <v>-125.08000000000001</v>
      </c>
      <c r="CD122" s="434">
        <v>62.26</v>
      </c>
      <c r="CE122" s="62"/>
      <c r="CF122" s="73"/>
      <c r="CG122" s="74"/>
      <c r="CH122" s="74"/>
      <c r="CI122" s="74"/>
      <c r="CJ122" s="74"/>
      <c r="CK122" s="74"/>
      <c r="CL122" s="74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144">
        <v>134.99</v>
      </c>
      <c r="DB122" s="144">
        <v>40</v>
      </c>
      <c r="DC122" s="31">
        <v>134.99</v>
      </c>
      <c r="DD122" s="31">
        <v>67.84</v>
      </c>
      <c r="DE122" s="31">
        <v>134.99</v>
      </c>
    </row>
    <row r="123" spans="1:109" hidden="1">
      <c r="A123" s="177"/>
      <c r="B123" s="187" t="s">
        <v>192</v>
      </c>
      <c r="C123" s="97" t="s">
        <v>54</v>
      </c>
      <c r="D123" s="31"/>
      <c r="E123" s="31"/>
      <c r="F123" s="31"/>
      <c r="G123" s="31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54"/>
      <c r="Y123" s="55"/>
      <c r="Z123" s="134"/>
      <c r="AA123" s="134">
        <v>0.71</v>
      </c>
      <c r="AB123" s="134"/>
      <c r="AC123" s="134"/>
      <c r="AD123" s="134"/>
      <c r="AE123" s="134"/>
      <c r="AF123" s="134"/>
      <c r="AG123" s="134"/>
      <c r="AH123" s="134"/>
      <c r="AI123" s="134"/>
      <c r="AJ123" s="54"/>
      <c r="AK123" s="56"/>
      <c r="AL123" s="134"/>
      <c r="AM123" s="134">
        <v>0.71</v>
      </c>
      <c r="AN123" s="134"/>
      <c r="AO123" s="134"/>
      <c r="AP123" s="134"/>
      <c r="AQ123" s="134"/>
      <c r="AR123" s="134"/>
      <c r="AS123" s="134"/>
      <c r="AT123" s="134"/>
      <c r="AU123" s="134"/>
      <c r="AV123" s="54"/>
      <c r="AW123" s="56"/>
      <c r="AX123" s="179"/>
      <c r="AY123" s="144"/>
      <c r="AZ123" s="184"/>
      <c r="BA123" s="62">
        <v>40.82</v>
      </c>
      <c r="BB123" s="62"/>
      <c r="BC123" s="62"/>
      <c r="BD123" s="62"/>
      <c r="BE123" s="110"/>
      <c r="BF123" s="109"/>
      <c r="BG123" s="62">
        <v>55.18</v>
      </c>
      <c r="BH123" s="62"/>
      <c r="BI123" s="110"/>
      <c r="BJ123" s="426">
        <f>BA123-AZ123</f>
        <v>40.82</v>
      </c>
      <c r="BK123" s="46"/>
      <c r="BL123" s="428"/>
      <c r="BM123" s="61">
        <v>0.71</v>
      </c>
      <c r="BN123" s="62"/>
      <c r="BO123" s="470"/>
      <c r="BP123" s="64"/>
      <c r="BQ123" s="61"/>
      <c r="BR123" s="65"/>
      <c r="BS123" s="66"/>
      <c r="BT123" s="64"/>
      <c r="BU123" s="61"/>
      <c r="BV123" s="65"/>
      <c r="BW123" s="66"/>
      <c r="BX123" s="431"/>
      <c r="BY123" s="68"/>
      <c r="BZ123" s="69">
        <f>M123+BM123+BQ123+BU123</f>
        <v>0.71</v>
      </c>
      <c r="CA123" s="70"/>
      <c r="CB123" s="71"/>
      <c r="CC123" s="72">
        <f>BZ123-E123</f>
        <v>0.71</v>
      </c>
      <c r="CD123" s="434">
        <v>64.37</v>
      </c>
      <c r="CE123" s="62"/>
      <c r="CF123" s="73"/>
      <c r="CG123" s="74"/>
      <c r="CH123" s="74"/>
      <c r="CI123" s="74"/>
      <c r="CJ123" s="74"/>
      <c r="CK123" s="74"/>
      <c r="CL123" s="74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144"/>
      <c r="DB123" s="144"/>
      <c r="DC123" s="31"/>
      <c r="DD123" s="31"/>
      <c r="DE123" s="31"/>
    </row>
    <row r="124" spans="1:109" hidden="1">
      <c r="A124" s="177"/>
      <c r="B124" s="187" t="s">
        <v>309</v>
      </c>
      <c r="C124" s="97" t="s">
        <v>54</v>
      </c>
      <c r="D124" s="31"/>
      <c r="E124" s="31"/>
      <c r="F124" s="31"/>
      <c r="G124" s="31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54"/>
      <c r="Y124" s="55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54"/>
      <c r="AK124" s="56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54"/>
      <c r="AW124" s="56"/>
      <c r="AX124" s="179"/>
      <c r="AY124" s="144">
        <v>3.04</v>
      </c>
      <c r="AZ124" s="184"/>
      <c r="BA124" s="62"/>
      <c r="BB124" s="62"/>
      <c r="BC124" s="62"/>
      <c r="BD124" s="62"/>
      <c r="BE124" s="110"/>
      <c r="BF124" s="109"/>
      <c r="BG124" s="62"/>
      <c r="BH124" s="62"/>
      <c r="BI124" s="110"/>
      <c r="BJ124" s="426"/>
      <c r="BK124" s="46"/>
      <c r="BL124" s="428"/>
      <c r="BM124" s="61"/>
      <c r="BN124" s="62"/>
      <c r="BO124" s="470"/>
      <c r="BP124" s="64"/>
      <c r="BQ124" s="61"/>
      <c r="BR124" s="65"/>
      <c r="BS124" s="66"/>
      <c r="BT124" s="64"/>
      <c r="BU124" s="61"/>
      <c r="BV124" s="65"/>
      <c r="BW124" s="66"/>
      <c r="BX124" s="431"/>
      <c r="BY124" s="68"/>
      <c r="BZ124" s="69"/>
      <c r="CA124" s="70"/>
      <c r="CB124" s="71"/>
      <c r="CC124" s="72"/>
      <c r="CD124" s="434"/>
      <c r="CE124" s="62"/>
      <c r="CF124" s="73"/>
      <c r="CG124" s="74"/>
      <c r="CH124" s="74"/>
      <c r="CI124" s="74"/>
      <c r="CJ124" s="74"/>
      <c r="CK124" s="74"/>
      <c r="CL124" s="74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144"/>
      <c r="DB124" s="144"/>
      <c r="DC124" s="31">
        <v>6</v>
      </c>
      <c r="DD124" s="31">
        <v>27.38</v>
      </c>
      <c r="DE124" s="31">
        <v>6</v>
      </c>
    </row>
    <row r="125" spans="1:109" hidden="1">
      <c r="A125" s="177"/>
      <c r="B125" s="187" t="s">
        <v>111</v>
      </c>
      <c r="C125" s="97" t="s">
        <v>54</v>
      </c>
      <c r="D125" s="31">
        <v>11.25</v>
      </c>
      <c r="E125" s="31">
        <v>11.25</v>
      </c>
      <c r="F125" s="31">
        <v>11.25</v>
      </c>
      <c r="G125" s="31">
        <v>11.25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54"/>
      <c r="Y125" s="55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54"/>
      <c r="AK125" s="56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54"/>
      <c r="AW125" s="56"/>
      <c r="AX125" s="179"/>
      <c r="AY125" s="144">
        <v>3.24</v>
      </c>
      <c r="AZ125" s="184"/>
      <c r="BA125" s="62">
        <v>7.48</v>
      </c>
      <c r="BB125" s="62"/>
      <c r="BC125" s="62"/>
      <c r="BD125" s="62"/>
      <c r="BE125" s="110"/>
      <c r="BF125" s="109"/>
      <c r="BG125" s="62"/>
      <c r="BH125" s="62"/>
      <c r="BI125" s="110"/>
      <c r="BJ125" s="426"/>
      <c r="BK125" s="46"/>
      <c r="BL125" s="428"/>
      <c r="BM125" s="61"/>
      <c r="BN125" s="62"/>
      <c r="BO125" s="470"/>
      <c r="BP125" s="64"/>
      <c r="BQ125" s="61"/>
      <c r="BR125" s="65"/>
      <c r="BS125" s="66"/>
      <c r="BT125" s="64"/>
      <c r="BU125" s="61"/>
      <c r="BV125" s="65"/>
      <c r="BW125" s="66"/>
      <c r="BX125" s="431"/>
      <c r="BY125" s="68"/>
      <c r="BZ125" s="69"/>
      <c r="CA125" s="70"/>
      <c r="CB125" s="71"/>
      <c r="CC125" s="72"/>
      <c r="CD125" s="434"/>
      <c r="CE125" s="62"/>
      <c r="CF125" s="73"/>
      <c r="CG125" s="74"/>
      <c r="CH125" s="74"/>
      <c r="CI125" s="74"/>
      <c r="CJ125" s="74"/>
      <c r="CK125" s="74"/>
      <c r="CL125" s="74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144">
        <v>11.25</v>
      </c>
      <c r="DB125" s="144">
        <v>11.25</v>
      </c>
      <c r="DC125" s="31">
        <v>11.25</v>
      </c>
      <c r="DD125" s="31"/>
      <c r="DE125" s="31">
        <v>11.25</v>
      </c>
    </row>
    <row r="126" spans="1:109" hidden="1">
      <c r="A126" s="194"/>
      <c r="B126" s="195" t="s">
        <v>159</v>
      </c>
      <c r="C126" s="97" t="s">
        <v>54</v>
      </c>
      <c r="D126" s="31">
        <v>3.6</v>
      </c>
      <c r="E126" s="31">
        <v>3.6</v>
      </c>
      <c r="F126" s="31">
        <v>3.6</v>
      </c>
      <c r="G126" s="31">
        <v>3.6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96"/>
      <c r="Y126" s="197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96"/>
      <c r="AK126" s="198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96"/>
      <c r="AW126" s="198"/>
      <c r="AX126" s="144"/>
      <c r="AY126" s="144">
        <v>3.6</v>
      </c>
      <c r="AZ126" s="149"/>
      <c r="BA126" s="62">
        <v>2.25</v>
      </c>
      <c r="BB126" s="150"/>
      <c r="BC126" s="62">
        <v>1.24</v>
      </c>
      <c r="BD126" s="150"/>
      <c r="BE126" s="110">
        <v>0.1</v>
      </c>
      <c r="BF126" s="149"/>
      <c r="BG126" s="150"/>
      <c r="BH126" s="150"/>
      <c r="BI126" s="151"/>
      <c r="BJ126" s="435"/>
      <c r="BK126" s="482"/>
      <c r="BL126" s="437"/>
      <c r="BM126" s="483"/>
      <c r="BN126" s="150"/>
      <c r="BO126" s="484"/>
      <c r="BP126" s="485"/>
      <c r="BQ126" s="483"/>
      <c r="BR126" s="486"/>
      <c r="BS126" s="487"/>
      <c r="BT126" s="485"/>
      <c r="BU126" s="483"/>
      <c r="BV126" s="486"/>
      <c r="BW126" s="487"/>
      <c r="BX126" s="440"/>
      <c r="BY126" s="488"/>
      <c r="BZ126" s="489"/>
      <c r="CA126" s="490"/>
      <c r="CB126" s="491"/>
      <c r="CC126" s="246"/>
      <c r="CD126" s="443"/>
      <c r="CE126" s="150"/>
      <c r="CF126" s="492"/>
      <c r="CG126" s="74"/>
      <c r="CH126" s="74"/>
      <c r="CI126" s="74"/>
      <c r="CJ126" s="74"/>
      <c r="CK126" s="74"/>
      <c r="CL126" s="74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144">
        <v>3.6</v>
      </c>
      <c r="DB126" s="144">
        <v>3.6</v>
      </c>
      <c r="DC126" s="31">
        <v>3.6</v>
      </c>
      <c r="DD126" s="31">
        <v>3.6</v>
      </c>
      <c r="DE126" s="31">
        <v>3.6</v>
      </c>
    </row>
    <row r="127" spans="1:109" hidden="1">
      <c r="A127" s="194"/>
      <c r="B127" s="195" t="s">
        <v>8</v>
      </c>
      <c r="C127" s="97" t="s">
        <v>54</v>
      </c>
      <c r="D127" s="31">
        <v>8</v>
      </c>
      <c r="E127" s="31">
        <v>8</v>
      </c>
      <c r="F127" s="31">
        <v>8</v>
      </c>
      <c r="G127" s="31">
        <v>8</v>
      </c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96"/>
      <c r="Y127" s="197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96"/>
      <c r="AK127" s="198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96"/>
      <c r="AW127" s="198"/>
      <c r="AX127" s="144"/>
      <c r="AY127" s="144"/>
      <c r="AZ127" s="149"/>
      <c r="BA127" s="62"/>
      <c r="BB127" s="150"/>
      <c r="BC127" s="62"/>
      <c r="BD127" s="150"/>
      <c r="BE127" s="151"/>
      <c r="BF127" s="149"/>
      <c r="BG127" s="150"/>
      <c r="BH127" s="150"/>
      <c r="BI127" s="151"/>
      <c r="BJ127" s="435"/>
      <c r="BK127" s="482"/>
      <c r="BL127" s="437"/>
      <c r="BM127" s="483"/>
      <c r="BN127" s="150"/>
      <c r="BO127" s="484"/>
      <c r="BP127" s="485"/>
      <c r="BQ127" s="483"/>
      <c r="BR127" s="486"/>
      <c r="BS127" s="487"/>
      <c r="BT127" s="485"/>
      <c r="BU127" s="483"/>
      <c r="BV127" s="486"/>
      <c r="BW127" s="487"/>
      <c r="BX127" s="440"/>
      <c r="BY127" s="488"/>
      <c r="BZ127" s="489"/>
      <c r="CA127" s="490"/>
      <c r="CB127" s="491"/>
      <c r="CC127" s="246"/>
      <c r="CD127" s="443"/>
      <c r="CE127" s="150"/>
      <c r="CF127" s="492"/>
      <c r="CG127" s="74"/>
      <c r="CH127" s="74"/>
      <c r="CI127" s="74"/>
      <c r="CJ127" s="74"/>
      <c r="CK127" s="74"/>
      <c r="CL127" s="74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144">
        <v>8</v>
      </c>
      <c r="DB127" s="144">
        <v>8</v>
      </c>
      <c r="DC127" s="31">
        <v>8</v>
      </c>
      <c r="DD127" s="31"/>
      <c r="DE127" s="31">
        <v>8</v>
      </c>
    </row>
    <row r="128" spans="1:109" hidden="1">
      <c r="A128" s="194"/>
      <c r="B128" s="195" t="s">
        <v>175</v>
      </c>
      <c r="C128" s="97" t="s">
        <v>54</v>
      </c>
      <c r="D128" s="31">
        <v>5.25</v>
      </c>
      <c r="E128" s="31">
        <v>6</v>
      </c>
      <c r="F128" s="31">
        <v>6</v>
      </c>
      <c r="G128" s="31">
        <v>6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96"/>
      <c r="Y128" s="197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96"/>
      <c r="AK128" s="198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96"/>
      <c r="AW128" s="198"/>
      <c r="AX128" s="144"/>
      <c r="AY128" s="144"/>
      <c r="AZ128" s="149"/>
      <c r="BA128" s="62"/>
      <c r="BB128" s="150"/>
      <c r="BC128" s="62"/>
      <c r="BD128" s="150"/>
      <c r="BE128" s="151"/>
      <c r="BF128" s="149"/>
      <c r="BG128" s="150"/>
      <c r="BH128" s="150"/>
      <c r="BI128" s="151"/>
      <c r="BJ128" s="435"/>
      <c r="BK128" s="482"/>
      <c r="BL128" s="437"/>
      <c r="BM128" s="483"/>
      <c r="BN128" s="150"/>
      <c r="BO128" s="484"/>
      <c r="BP128" s="485"/>
      <c r="BQ128" s="483"/>
      <c r="BR128" s="486"/>
      <c r="BS128" s="487"/>
      <c r="BT128" s="485"/>
      <c r="BU128" s="483"/>
      <c r="BV128" s="486"/>
      <c r="BW128" s="487"/>
      <c r="BX128" s="440"/>
      <c r="BY128" s="488"/>
      <c r="BZ128" s="489"/>
      <c r="CA128" s="490"/>
      <c r="CB128" s="491"/>
      <c r="CC128" s="246"/>
      <c r="CD128" s="443"/>
      <c r="CE128" s="150"/>
      <c r="CF128" s="492"/>
      <c r="CG128" s="74"/>
      <c r="CH128" s="74"/>
      <c r="CI128" s="74"/>
      <c r="CJ128" s="74"/>
      <c r="CK128" s="74"/>
      <c r="CL128" s="74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144">
        <v>6</v>
      </c>
      <c r="DB128" s="144">
        <v>6</v>
      </c>
      <c r="DC128" s="31">
        <v>6</v>
      </c>
      <c r="DD128" s="31"/>
      <c r="DE128" s="31">
        <v>6</v>
      </c>
    </row>
    <row r="129" spans="1:109" hidden="1">
      <c r="A129" s="194"/>
      <c r="B129" s="195" t="s">
        <v>56</v>
      </c>
      <c r="C129" s="97" t="s">
        <v>54</v>
      </c>
      <c r="D129" s="31">
        <v>100.1</v>
      </c>
      <c r="E129" s="31"/>
      <c r="F129" s="31"/>
      <c r="G129" s="31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96"/>
      <c r="Y129" s="197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96"/>
      <c r="AK129" s="198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96"/>
      <c r="AW129" s="198"/>
      <c r="AX129" s="144"/>
      <c r="AY129" s="144"/>
      <c r="AZ129" s="149"/>
      <c r="BA129" s="62">
        <v>61.6</v>
      </c>
      <c r="BB129" s="150"/>
      <c r="BC129" s="62">
        <v>30.8</v>
      </c>
      <c r="BD129" s="150"/>
      <c r="BE129" s="151"/>
      <c r="BF129" s="149"/>
      <c r="BG129" s="150"/>
      <c r="BH129" s="150"/>
      <c r="BI129" s="151"/>
      <c r="BJ129" s="435"/>
      <c r="BK129" s="482"/>
      <c r="BL129" s="437"/>
      <c r="BM129" s="483"/>
      <c r="BN129" s="150"/>
      <c r="BO129" s="484"/>
      <c r="BP129" s="485"/>
      <c r="BQ129" s="483"/>
      <c r="BR129" s="486"/>
      <c r="BS129" s="487"/>
      <c r="BT129" s="485"/>
      <c r="BU129" s="483"/>
      <c r="BV129" s="486"/>
      <c r="BW129" s="487"/>
      <c r="BX129" s="440"/>
      <c r="BY129" s="488"/>
      <c r="BZ129" s="489"/>
      <c r="CA129" s="490"/>
      <c r="CB129" s="491"/>
      <c r="CC129" s="246"/>
      <c r="CD129" s="443"/>
      <c r="CE129" s="150"/>
      <c r="CF129" s="492"/>
      <c r="CG129" s="74"/>
      <c r="CH129" s="74"/>
      <c r="CI129" s="74"/>
      <c r="CJ129" s="74"/>
      <c r="CK129" s="74"/>
      <c r="CL129" s="74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144"/>
      <c r="DB129" s="144"/>
      <c r="DC129" s="31"/>
      <c r="DD129" s="31"/>
      <c r="DE129" s="31"/>
    </row>
    <row r="130" spans="1:109" hidden="1">
      <c r="A130" s="177"/>
      <c r="B130" s="187" t="s">
        <v>158</v>
      </c>
      <c r="C130" s="97" t="s">
        <v>54</v>
      </c>
      <c r="D130" s="31"/>
      <c r="E130" s="31"/>
      <c r="F130" s="31"/>
      <c r="G130" s="31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54"/>
      <c r="Y130" s="55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54"/>
      <c r="AK130" s="56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54"/>
      <c r="AW130" s="56"/>
      <c r="AX130" s="179"/>
      <c r="AY130" s="144">
        <v>1.3</v>
      </c>
      <c r="AZ130" s="184"/>
      <c r="BA130" s="62"/>
      <c r="BB130" s="62"/>
      <c r="BC130" s="62"/>
      <c r="BD130" s="62"/>
      <c r="BE130" s="110"/>
      <c r="BF130" s="109"/>
      <c r="BG130" s="62">
        <v>1.1000000000000001</v>
      </c>
      <c r="BH130" s="62"/>
      <c r="BI130" s="110"/>
      <c r="BJ130" s="426"/>
      <c r="BK130" s="46"/>
      <c r="BL130" s="428"/>
      <c r="BM130" s="61"/>
      <c r="BN130" s="62"/>
      <c r="BO130" s="470"/>
      <c r="BP130" s="64"/>
      <c r="BQ130" s="61"/>
      <c r="BR130" s="65"/>
      <c r="BS130" s="66"/>
      <c r="BT130" s="64"/>
      <c r="BU130" s="61"/>
      <c r="BV130" s="65"/>
      <c r="BW130" s="66"/>
      <c r="BX130" s="431"/>
      <c r="BY130" s="68"/>
      <c r="BZ130" s="69"/>
      <c r="CA130" s="70"/>
      <c r="CB130" s="71"/>
      <c r="CC130" s="72"/>
      <c r="CD130" s="434"/>
      <c r="CE130" s="62"/>
      <c r="CF130" s="73"/>
      <c r="CG130" s="74"/>
      <c r="CH130" s="74"/>
      <c r="CI130" s="74"/>
      <c r="CJ130" s="74"/>
      <c r="CK130" s="74"/>
      <c r="CL130" s="74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144"/>
      <c r="DB130" s="144"/>
      <c r="DC130" s="31"/>
      <c r="DD130" s="31"/>
      <c r="DE130" s="31"/>
    </row>
    <row r="131" spans="1:109" hidden="1">
      <c r="A131" s="194"/>
      <c r="B131" s="195" t="s">
        <v>19</v>
      </c>
      <c r="C131" s="49" t="s">
        <v>54</v>
      </c>
      <c r="D131" s="31"/>
      <c r="E131" s="31">
        <v>12</v>
      </c>
      <c r="F131" s="31">
        <v>12</v>
      </c>
      <c r="G131" s="31">
        <v>12</v>
      </c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218"/>
      <c r="Y131" s="197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218"/>
      <c r="AK131" s="198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218"/>
      <c r="AW131" s="198"/>
      <c r="AX131" s="193"/>
      <c r="AY131" s="144">
        <v>4.8600000000000003</v>
      </c>
      <c r="AZ131" s="204"/>
      <c r="BA131" s="62"/>
      <c r="BB131" s="150"/>
      <c r="BC131" s="62"/>
      <c r="BD131" s="150"/>
      <c r="BE131" s="151"/>
      <c r="BF131" s="149">
        <v>11.67</v>
      </c>
      <c r="BG131" s="150"/>
      <c r="BH131" s="150"/>
      <c r="BI131" s="151"/>
      <c r="BJ131" s="435"/>
      <c r="BK131" s="482"/>
      <c r="BL131" s="437"/>
      <c r="BM131" s="483"/>
      <c r="BN131" s="150"/>
      <c r="BO131" s="484"/>
      <c r="BP131" s="485"/>
      <c r="BQ131" s="483"/>
      <c r="BR131" s="486"/>
      <c r="BS131" s="487"/>
      <c r="BT131" s="485"/>
      <c r="BU131" s="483"/>
      <c r="BV131" s="486"/>
      <c r="BW131" s="487"/>
      <c r="BX131" s="440"/>
      <c r="BY131" s="488"/>
      <c r="BZ131" s="489"/>
      <c r="CA131" s="490"/>
      <c r="CB131" s="491"/>
      <c r="CC131" s="246"/>
      <c r="CD131" s="443"/>
      <c r="CE131" s="150"/>
      <c r="CF131" s="492"/>
      <c r="CG131" s="74"/>
      <c r="CH131" s="74"/>
      <c r="CI131" s="74"/>
      <c r="CJ131" s="74"/>
      <c r="CK131" s="74"/>
      <c r="CL131" s="74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144">
        <v>12</v>
      </c>
      <c r="DB131" s="144">
        <v>12</v>
      </c>
      <c r="DC131" s="31">
        <v>12</v>
      </c>
      <c r="DD131" s="31">
        <v>12.96</v>
      </c>
      <c r="DE131" s="31">
        <v>12</v>
      </c>
    </row>
    <row r="132" spans="1:109" hidden="1">
      <c r="A132" s="194"/>
      <c r="B132" s="195" t="s">
        <v>310</v>
      </c>
      <c r="C132" s="49" t="s">
        <v>54</v>
      </c>
      <c r="D132" s="78"/>
      <c r="E132" s="78"/>
      <c r="F132" s="78"/>
      <c r="G132" s="78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218"/>
      <c r="Y132" s="197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218"/>
      <c r="AK132" s="198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218"/>
      <c r="AW132" s="198"/>
      <c r="AX132" s="193"/>
      <c r="AY132" s="144">
        <v>14.03</v>
      </c>
      <c r="AZ132" s="204"/>
      <c r="BA132" s="62"/>
      <c r="BB132" s="150"/>
      <c r="BC132" s="62"/>
      <c r="BD132" s="150"/>
      <c r="BE132" s="151"/>
      <c r="BF132" s="149"/>
      <c r="BG132" s="150"/>
      <c r="BH132" s="150"/>
      <c r="BI132" s="151"/>
      <c r="BJ132" s="435"/>
      <c r="BK132" s="482"/>
      <c r="BL132" s="437"/>
      <c r="BM132" s="483"/>
      <c r="BN132" s="150"/>
      <c r="BO132" s="484"/>
      <c r="BP132" s="485"/>
      <c r="BQ132" s="483"/>
      <c r="BR132" s="486"/>
      <c r="BS132" s="487"/>
      <c r="BT132" s="485"/>
      <c r="BU132" s="483"/>
      <c r="BV132" s="486"/>
      <c r="BW132" s="487"/>
      <c r="BX132" s="440"/>
      <c r="BY132" s="488"/>
      <c r="BZ132" s="489"/>
      <c r="CA132" s="490"/>
      <c r="CB132" s="491"/>
      <c r="CC132" s="246"/>
      <c r="CD132" s="443"/>
      <c r="CE132" s="150"/>
      <c r="CF132" s="492"/>
      <c r="CG132" s="74"/>
      <c r="CH132" s="74"/>
      <c r="CI132" s="74"/>
      <c r="CJ132" s="74"/>
      <c r="CK132" s="74"/>
      <c r="CL132" s="74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144"/>
      <c r="DB132" s="144"/>
      <c r="DC132" s="78"/>
      <c r="DD132" s="78"/>
      <c r="DE132" s="78"/>
    </row>
    <row r="133" spans="1:109" hidden="1">
      <c r="A133" s="194"/>
      <c r="B133" s="195" t="s">
        <v>63</v>
      </c>
      <c r="C133" s="49" t="s">
        <v>54</v>
      </c>
      <c r="D133" s="31"/>
      <c r="E133" s="31"/>
      <c r="F133" s="31"/>
      <c r="G133" s="31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96"/>
      <c r="Y133" s="197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96"/>
      <c r="AK133" s="198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96"/>
      <c r="AW133" s="198"/>
      <c r="AX133" s="144"/>
      <c r="AY133" s="144"/>
      <c r="AZ133" s="149"/>
      <c r="BA133" s="62"/>
      <c r="BB133" s="150"/>
      <c r="BC133" s="62"/>
      <c r="BD133" s="150"/>
      <c r="BE133" s="151"/>
      <c r="BF133" s="149"/>
      <c r="BG133" s="150"/>
      <c r="BH133" s="150"/>
      <c r="BI133" s="151"/>
      <c r="BJ133" s="435"/>
      <c r="BK133" s="482"/>
      <c r="BL133" s="437"/>
      <c r="BM133" s="483"/>
      <c r="BN133" s="150"/>
      <c r="BO133" s="484"/>
      <c r="BP133" s="485"/>
      <c r="BQ133" s="483"/>
      <c r="BR133" s="486"/>
      <c r="BS133" s="487"/>
      <c r="BT133" s="485"/>
      <c r="BU133" s="483"/>
      <c r="BV133" s="486"/>
      <c r="BW133" s="487"/>
      <c r="BX133" s="440"/>
      <c r="BY133" s="488"/>
      <c r="BZ133" s="489"/>
      <c r="CA133" s="490"/>
      <c r="CB133" s="491"/>
      <c r="CC133" s="246"/>
      <c r="CD133" s="443"/>
      <c r="CE133" s="150"/>
      <c r="CF133" s="492"/>
      <c r="CG133" s="74"/>
      <c r="CH133" s="74"/>
      <c r="CI133" s="74"/>
      <c r="CJ133" s="74"/>
      <c r="CK133" s="74"/>
      <c r="CL133" s="74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144"/>
      <c r="DB133" s="144"/>
      <c r="DC133" s="31"/>
      <c r="DD133" s="31"/>
      <c r="DE133" s="31"/>
    </row>
    <row r="134" spans="1:109" hidden="1">
      <c r="A134" s="177"/>
      <c r="B134" s="187" t="s">
        <v>193</v>
      </c>
      <c r="C134" s="49" t="s">
        <v>54</v>
      </c>
      <c r="D134" s="31"/>
      <c r="E134" s="31"/>
      <c r="F134" s="31"/>
      <c r="G134" s="31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54"/>
      <c r="Y134" s="55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54"/>
      <c r="AK134" s="56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54"/>
      <c r="AW134" s="56"/>
      <c r="AX134" s="179"/>
      <c r="AY134" s="144">
        <v>67.680000000000007</v>
      </c>
      <c r="AZ134" s="184"/>
      <c r="BA134" s="62"/>
      <c r="BB134" s="62"/>
      <c r="BC134" s="62"/>
      <c r="BD134" s="62"/>
      <c r="BE134" s="110"/>
      <c r="BF134" s="109"/>
      <c r="BG134" s="62">
        <v>98.12</v>
      </c>
      <c r="BH134" s="62"/>
      <c r="BI134" s="110"/>
      <c r="BJ134" s="426">
        <f>BA134-AZ134</f>
        <v>0</v>
      </c>
      <c r="BK134" s="46"/>
      <c r="BL134" s="428"/>
      <c r="BM134" s="61"/>
      <c r="BN134" s="62"/>
      <c r="BO134" s="470"/>
      <c r="BP134" s="64"/>
      <c r="BQ134" s="61"/>
      <c r="BR134" s="65"/>
      <c r="BS134" s="66"/>
      <c r="BT134" s="64"/>
      <c r="BU134" s="61"/>
      <c r="BV134" s="65"/>
      <c r="BW134" s="66"/>
      <c r="BX134" s="431"/>
      <c r="BY134" s="68"/>
      <c r="BZ134" s="69">
        <f>M134+BM134+BQ134+BU134</f>
        <v>0</v>
      </c>
      <c r="CA134" s="70"/>
      <c r="CB134" s="71"/>
      <c r="CC134" s="72">
        <f>BZ134-E134</f>
        <v>0</v>
      </c>
      <c r="CD134" s="434">
        <v>11.15</v>
      </c>
      <c r="CE134" s="62"/>
      <c r="CF134" s="73"/>
      <c r="CG134" s="74"/>
      <c r="CH134" s="74"/>
      <c r="CI134" s="74"/>
      <c r="CJ134" s="74"/>
      <c r="CK134" s="74"/>
      <c r="CL134" s="74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144"/>
      <c r="DB134" s="144"/>
      <c r="DC134" s="31"/>
      <c r="DD134" s="31"/>
      <c r="DE134" s="31"/>
    </row>
    <row r="135" spans="1:109">
      <c r="A135" s="208" t="s">
        <v>263</v>
      </c>
      <c r="B135" s="160" t="s">
        <v>286</v>
      </c>
      <c r="C135" s="397" t="s">
        <v>54</v>
      </c>
      <c r="D135" s="117">
        <f>SUM(D136,D144,D146)</f>
        <v>3052.59</v>
      </c>
      <c r="E135" s="117">
        <f>SUM(E136,E144,E146)</f>
        <v>3195.41</v>
      </c>
      <c r="F135" s="117">
        <f>SUM(F136,F144,F146)</f>
        <v>3195.41</v>
      </c>
      <c r="G135" s="117">
        <f>SUM(G136,G144,G146)</f>
        <v>3195.41</v>
      </c>
      <c r="H135" s="117" t="e">
        <f>#REF!+H136+#REF!+#REF!+H146+#REF!</f>
        <v>#REF!</v>
      </c>
      <c r="I135" s="117" t="e">
        <f>#REF!+I136+#REF!+#REF!+I146+#REF!</f>
        <v>#REF!</v>
      </c>
      <c r="J135" s="117" t="e">
        <f>#REF!+J136+#REF!+#REF!+J146+#REF!</f>
        <v>#REF!</v>
      </c>
      <c r="K135" s="117" t="e">
        <f>#REF!+K136+#REF!+#REF!+K146+#REF!</f>
        <v>#REF!</v>
      </c>
      <c r="L135" s="117" t="e">
        <f>#REF!+L136+#REF!+#REF!+L146+#REF!</f>
        <v>#REF!</v>
      </c>
      <c r="M135" s="117" t="e">
        <f>#REF!+M136+#REF!+#REF!+M146+#REF!</f>
        <v>#REF!</v>
      </c>
      <c r="N135" s="117">
        <v>201.55</v>
      </c>
      <c r="O135" s="117">
        <v>195.33</v>
      </c>
      <c r="P135" s="117">
        <v>22.39</v>
      </c>
      <c r="Q135" s="117" t="e">
        <f>#REF!+Q136</f>
        <v>#REF!</v>
      </c>
      <c r="R135" s="117" t="e">
        <f>#REF!+R136+#REF!+#REF!+R146+#REF!</f>
        <v>#REF!</v>
      </c>
      <c r="S135" s="117">
        <v>224.63</v>
      </c>
      <c r="T135" s="117" t="e">
        <f>#REF!+T136+#REF!+#REF!+T146+#REF!</f>
        <v>#REF!</v>
      </c>
      <c r="U135" s="117" t="e">
        <f>#REF!+U136+#REF!+#REF!+U146+#REF!</f>
        <v>#REF!</v>
      </c>
      <c r="V135" s="117">
        <f>V136</f>
        <v>7.34</v>
      </c>
      <c r="W135" s="117"/>
      <c r="X135" s="209"/>
      <c r="Y135" s="210"/>
      <c r="Z135" s="117" t="e">
        <f>#REF!+Z136+#REF!+#REF!+Z146+#REF!</f>
        <v>#REF!</v>
      </c>
      <c r="AA135" s="117" t="e">
        <f>#REF!+AA136+#REF!+#REF!+AA146+#REF!</f>
        <v>#REF!</v>
      </c>
      <c r="AB135" s="117" t="e">
        <f>#REF!+AB136+#REF!+#REF!+AB146+#REF!</f>
        <v>#REF!</v>
      </c>
      <c r="AC135" s="117" t="e">
        <f>#REF!+AC136+#REF!+#REF!+AC146+#REF!</f>
        <v>#REF!</v>
      </c>
      <c r="AD135" s="117" t="e">
        <f>#REF!+AD136+#REF!+#REF!+AD146+#REF!</f>
        <v>#REF!</v>
      </c>
      <c r="AE135" s="117" t="e">
        <f>#REF!+AE136+#REF!+#REF!+AE146+#REF!</f>
        <v>#REF!</v>
      </c>
      <c r="AF135" s="117" t="e">
        <f>#REF!+AF136+#REF!+#REF!+AF146+#REF!</f>
        <v>#REF!</v>
      </c>
      <c r="AG135" s="117" t="e">
        <f>#REF!+AG136+#REF!+#REF!+AG146+#REF!</f>
        <v>#REF!</v>
      </c>
      <c r="AH135" s="117">
        <f>AH136</f>
        <v>0</v>
      </c>
      <c r="AI135" s="117"/>
      <c r="AJ135" s="209"/>
      <c r="AK135" s="211"/>
      <c r="AL135" s="117" t="e">
        <f>#REF!+AL136+#REF!+#REF!+AL146+#REF!</f>
        <v>#REF!</v>
      </c>
      <c r="AM135" s="117" t="e">
        <f>#REF!+AM136+#REF!+#REF!+AM146+#REF!</f>
        <v>#REF!</v>
      </c>
      <c r="AN135" s="117" t="e">
        <f>#REF!+AN136+#REF!+#REF!+AN146+#REF!</f>
        <v>#REF!</v>
      </c>
      <c r="AO135" s="117" t="e">
        <f>#REF!+AO136+#REF!+#REF!+AO146+#REF!</f>
        <v>#REF!</v>
      </c>
      <c r="AP135" s="117" t="e">
        <f>#REF!+AP136+#REF!+#REF!+AP146+#REF!</f>
        <v>#REF!</v>
      </c>
      <c r="AQ135" s="117" t="e">
        <f>#REF!+AQ136+#REF!+#REF!+AQ146+#REF!</f>
        <v>#REF!</v>
      </c>
      <c r="AR135" s="117" t="e">
        <f>#REF!+AR136+#REF!+#REF!+AR146+#REF!</f>
        <v>#REF!</v>
      </c>
      <c r="AS135" s="117" t="e">
        <f>#REF!+AS136+#REF!+#REF!+AS146+#REF!</f>
        <v>#REF!</v>
      </c>
      <c r="AT135" s="117">
        <f>AT136</f>
        <v>0</v>
      </c>
      <c r="AU135" s="117"/>
      <c r="AV135" s="209"/>
      <c r="AW135" s="211"/>
      <c r="AX135" s="117">
        <f>G135/2</f>
        <v>1597.7049999999999</v>
      </c>
      <c r="AY135" s="117">
        <f>SUM(AY136,AY144,AY146,AY141)</f>
        <v>3353.3500000000004</v>
      </c>
      <c r="AZ135" s="121" t="e">
        <f>#REF!+AZ136+#REF!+#REF!+AZ146+#REF!</f>
        <v>#REF!</v>
      </c>
      <c r="BA135" s="122">
        <f>SUM(BA136,BA141,BA144,BA146)</f>
        <v>1414.23</v>
      </c>
      <c r="BB135" s="122">
        <f t="shared" ref="BB135:BG135" si="54">SUM(BB136,BB141,BB144,BB146)</f>
        <v>0</v>
      </c>
      <c r="BC135" s="122">
        <f t="shared" si="54"/>
        <v>981.49</v>
      </c>
      <c r="BD135" s="122">
        <f t="shared" si="54"/>
        <v>0</v>
      </c>
      <c r="BE135" s="123">
        <f t="shared" si="54"/>
        <v>262.14</v>
      </c>
      <c r="BF135" s="121">
        <f>SUM(BF136,BF141,BF144,BF146)</f>
        <v>292.12326999999999</v>
      </c>
      <c r="BG135" s="122">
        <f t="shared" si="54"/>
        <v>247.71760999999998</v>
      </c>
      <c r="BH135" s="122"/>
      <c r="BI135" s="123"/>
      <c r="BJ135" s="288" t="e">
        <f t="shared" ref="BJ135:BJ158" si="55">BA135-AZ135</f>
        <v>#REF!</v>
      </c>
      <c r="BK135" s="515" t="e">
        <f t="shared" ref="BK135:BK140" si="56">BA135/AZ135</f>
        <v>#REF!</v>
      </c>
      <c r="BL135" s="408"/>
      <c r="BM135" s="516" t="e">
        <f>#REF!+BM136+#REF!+#REF!+BM146+#REF!</f>
        <v>#REF!</v>
      </c>
      <c r="BN135" s="122"/>
      <c r="BO135" s="409"/>
      <c r="BP135" s="448"/>
      <c r="BQ135" s="516"/>
      <c r="BR135" s="517"/>
      <c r="BS135" s="518"/>
      <c r="BT135" s="448"/>
      <c r="BU135" s="516"/>
      <c r="BV135" s="517"/>
      <c r="BW135" s="518"/>
      <c r="BX135" s="411">
        <v>4042.09</v>
      </c>
      <c r="BY135" s="449">
        <f>F135</f>
        <v>3195.41</v>
      </c>
      <c r="BZ135" s="209" t="e">
        <f>M135+BM135+BQ135+BU135</f>
        <v>#REF!</v>
      </c>
      <c r="CA135" s="516" t="e">
        <f>BZ135-BY135</f>
        <v>#REF!</v>
      </c>
      <c r="CB135" s="515" t="e">
        <f>BZ135/BY135</f>
        <v>#REF!</v>
      </c>
      <c r="CC135" s="444" t="e">
        <f>BZ135-E135</f>
        <v>#REF!</v>
      </c>
      <c r="CD135" s="415" t="e">
        <f>BZ135-CE135</f>
        <v>#REF!</v>
      </c>
      <c r="CE135" s="122">
        <v>188.68</v>
      </c>
      <c r="CF135" s="519">
        <v>0</v>
      </c>
      <c r="CG135" s="450"/>
      <c r="CH135" s="450"/>
      <c r="CI135" s="450"/>
      <c r="CJ135" s="450"/>
      <c r="CK135" s="450"/>
      <c r="CL135" s="450"/>
      <c r="CM135" s="451"/>
      <c r="CN135" s="451"/>
      <c r="CO135" s="451"/>
      <c r="CP135" s="451"/>
      <c r="CQ135" s="451"/>
      <c r="CR135" s="451"/>
      <c r="CS135" s="451"/>
      <c r="CT135" s="451"/>
      <c r="CU135" s="451"/>
      <c r="CV135" s="451"/>
      <c r="CW135" s="451"/>
      <c r="CX135" s="451"/>
      <c r="CY135" s="451"/>
      <c r="CZ135" s="451"/>
      <c r="DA135" s="117">
        <f>SUM(DA136,DA144,DA146,DA141)</f>
        <v>3195.4119699999997</v>
      </c>
      <c r="DB135" s="117">
        <f>SUM(DB136,DB144,DB146,DB141)</f>
        <v>3195.4119699999997</v>
      </c>
      <c r="DC135" s="117">
        <f>SUM(DC136,DC144,DC146)</f>
        <v>3206.41</v>
      </c>
      <c r="DD135" s="117">
        <f>SUM(DD136,DD144,DD146)</f>
        <v>3168.37</v>
      </c>
      <c r="DE135" s="117">
        <f>SUM(DE136,DE144,DE146)</f>
        <v>3217.1019699999997</v>
      </c>
    </row>
    <row r="136" spans="1:109">
      <c r="A136" s="177" t="s">
        <v>138</v>
      </c>
      <c r="B136" s="178" t="s">
        <v>2</v>
      </c>
      <c r="C136" s="259" t="s">
        <v>54</v>
      </c>
      <c r="D136" s="179">
        <f>SUM(D137,D140)</f>
        <v>2391.7600000000002</v>
      </c>
      <c r="E136" s="179">
        <f>SUM(E137,E140)</f>
        <v>2656.21</v>
      </c>
      <c r="F136" s="179">
        <f>SUM(F137,F140)</f>
        <v>2656.21</v>
      </c>
      <c r="G136" s="179">
        <f>SUM(G137,G140)</f>
        <v>2656.21</v>
      </c>
      <c r="H136" s="180">
        <f t="shared" ref="H136:U136" si="57">H137+H140</f>
        <v>2088.1799999999998</v>
      </c>
      <c r="I136" s="180">
        <f t="shared" si="57"/>
        <v>1632.23</v>
      </c>
      <c r="J136" s="180">
        <f t="shared" si="57"/>
        <v>226.17</v>
      </c>
      <c r="K136" s="180">
        <f t="shared" si="57"/>
        <v>1406.06</v>
      </c>
      <c r="L136" s="180">
        <f t="shared" si="57"/>
        <v>221.3508333333333</v>
      </c>
      <c r="M136" s="180">
        <f t="shared" si="57"/>
        <v>295.68180999999998</v>
      </c>
      <c r="N136" s="180">
        <f t="shared" si="57"/>
        <v>154.01999999999998</v>
      </c>
      <c r="O136" s="180">
        <v>148.74</v>
      </c>
      <c r="P136" s="180">
        <f>P137+P140</f>
        <v>20</v>
      </c>
      <c r="Q136" s="180">
        <v>19.36</v>
      </c>
      <c r="R136" s="180">
        <v>136.01</v>
      </c>
      <c r="S136" s="180">
        <v>85.66</v>
      </c>
      <c r="T136" s="180">
        <f t="shared" si="57"/>
        <v>117.17166666666665</v>
      </c>
      <c r="U136" s="180">
        <f t="shared" si="57"/>
        <v>111.70500000000001</v>
      </c>
      <c r="V136" s="180">
        <v>7.34</v>
      </c>
      <c r="W136" s="180"/>
      <c r="X136" s="181">
        <f t="shared" ref="X136:X143" si="58">O136-N136</f>
        <v>-5.2799999999999727</v>
      </c>
      <c r="Y136" s="191">
        <f t="shared" ref="Y136:Y143" si="59">O136/N136</f>
        <v>0.9657187378262565</v>
      </c>
      <c r="Z136" s="180">
        <f t="shared" ref="Z136:AH136" si="60">Z137+Z140</f>
        <v>310.02999999999997</v>
      </c>
      <c r="AA136" s="180">
        <f t="shared" si="60"/>
        <v>325.09399999999999</v>
      </c>
      <c r="AB136" s="180">
        <f t="shared" si="60"/>
        <v>174.02</v>
      </c>
      <c r="AC136" s="180">
        <f t="shared" si="60"/>
        <v>0</v>
      </c>
      <c r="AD136" s="180">
        <f t="shared" si="60"/>
        <v>18.850000000000001</v>
      </c>
      <c r="AE136" s="180">
        <f t="shared" si="60"/>
        <v>0</v>
      </c>
      <c r="AF136" s="180">
        <f t="shared" si="60"/>
        <v>117.17</v>
      </c>
      <c r="AG136" s="180">
        <f t="shared" si="60"/>
        <v>0</v>
      </c>
      <c r="AH136" s="180">
        <f t="shared" si="60"/>
        <v>0</v>
      </c>
      <c r="AI136" s="180"/>
      <c r="AJ136" s="181">
        <f t="shared" ref="AJ136:AJ143" si="61">AC136-AB136</f>
        <v>-174.02</v>
      </c>
      <c r="AK136" s="192">
        <f t="shared" ref="AK136:AK143" si="62">AC136/AB136</f>
        <v>0</v>
      </c>
      <c r="AL136" s="180">
        <f t="shared" ref="AL136:AT136" si="63">AL137+AL140</f>
        <v>310.02999999999997</v>
      </c>
      <c r="AM136" s="180">
        <f t="shared" si="63"/>
        <v>325.09399999999999</v>
      </c>
      <c r="AN136" s="180">
        <f t="shared" si="63"/>
        <v>174.02</v>
      </c>
      <c r="AO136" s="180">
        <f t="shared" si="63"/>
        <v>0</v>
      </c>
      <c r="AP136" s="180">
        <f t="shared" si="63"/>
        <v>18.850000000000001</v>
      </c>
      <c r="AQ136" s="180">
        <f t="shared" si="63"/>
        <v>0</v>
      </c>
      <c r="AR136" s="180">
        <f t="shared" si="63"/>
        <v>117.17</v>
      </c>
      <c r="AS136" s="180">
        <f t="shared" si="63"/>
        <v>0</v>
      </c>
      <c r="AT136" s="180">
        <f t="shared" si="63"/>
        <v>0</v>
      </c>
      <c r="AU136" s="180"/>
      <c r="AV136" s="181">
        <f t="shared" ref="AV136:AV143" si="64">AO136-AN136</f>
        <v>-174.02</v>
      </c>
      <c r="AW136" s="192">
        <f t="shared" ref="AW136:AW143" si="65">AO136/AN136</f>
        <v>0</v>
      </c>
      <c r="AX136" s="179">
        <f>G136/2</f>
        <v>1328.105</v>
      </c>
      <c r="AY136" s="179">
        <f t="shared" ref="AY136:BG136" si="66">AY137+AY140</f>
        <v>2636.07</v>
      </c>
      <c r="AZ136" s="184">
        <f>AZ137+AZ140</f>
        <v>0</v>
      </c>
      <c r="BA136" s="185">
        <f>BA137+BA140</f>
        <v>1080.83</v>
      </c>
      <c r="BB136" s="185">
        <f t="shared" si="66"/>
        <v>0</v>
      </c>
      <c r="BC136" s="185">
        <f t="shared" si="66"/>
        <v>943.95999999999992</v>
      </c>
      <c r="BD136" s="185">
        <f t="shared" si="66"/>
        <v>0</v>
      </c>
      <c r="BE136" s="186">
        <f t="shared" si="66"/>
        <v>233.43</v>
      </c>
      <c r="BF136" s="184">
        <f>BF137+BF140</f>
        <v>174.54327000000001</v>
      </c>
      <c r="BG136" s="185">
        <f t="shared" si="66"/>
        <v>153.82760999999999</v>
      </c>
      <c r="BH136" s="185"/>
      <c r="BI136" s="186"/>
      <c r="BJ136" s="426">
        <f t="shared" si="55"/>
        <v>1080.83</v>
      </c>
      <c r="BK136" s="481" t="e">
        <f t="shared" si="56"/>
        <v>#DIV/0!</v>
      </c>
      <c r="BL136" s="468"/>
      <c r="BM136" s="469">
        <f>BM137+BM140</f>
        <v>324.36581000000001</v>
      </c>
      <c r="BN136" s="264"/>
      <c r="BO136" s="470"/>
      <c r="BP136" s="471"/>
      <c r="BQ136" s="469"/>
      <c r="BR136" s="472"/>
      <c r="BS136" s="473"/>
      <c r="BT136" s="471"/>
      <c r="BU136" s="469"/>
      <c r="BV136" s="472"/>
      <c r="BW136" s="473"/>
      <c r="BX136" s="474">
        <v>2674.02</v>
      </c>
      <c r="BY136" s="475">
        <f>F136</f>
        <v>2656.21</v>
      </c>
      <c r="BZ136" s="320">
        <f>M136+BM136+BQ136+BU136</f>
        <v>620.04762000000005</v>
      </c>
      <c r="CA136" s="469">
        <f>BZ136-BY136</f>
        <v>-2036.16238</v>
      </c>
      <c r="CB136" s="476">
        <f>BZ136/BY136</f>
        <v>0.23343320746477125</v>
      </c>
      <c r="CC136" s="307">
        <f>BZ136-E136</f>
        <v>-2036.16238</v>
      </c>
      <c r="CD136" s="477">
        <f>CD137+CD140</f>
        <v>431.36761999999999</v>
      </c>
      <c r="CE136" s="185">
        <f>CE137+CE140</f>
        <v>188.68</v>
      </c>
      <c r="CF136" s="478"/>
      <c r="CG136" s="465"/>
      <c r="CH136" s="465"/>
      <c r="CI136" s="465"/>
      <c r="CJ136" s="465"/>
      <c r="CK136" s="465"/>
      <c r="CL136" s="465"/>
      <c r="CM136" s="466"/>
      <c r="CN136" s="466"/>
      <c r="CO136" s="466"/>
      <c r="CP136" s="466"/>
      <c r="CQ136" s="466"/>
      <c r="CR136" s="466"/>
      <c r="CS136" s="466"/>
      <c r="CT136" s="466"/>
      <c r="CU136" s="466"/>
      <c r="CV136" s="466"/>
      <c r="CW136" s="466"/>
      <c r="CX136" s="466"/>
      <c r="CY136" s="466"/>
      <c r="CZ136" s="466"/>
      <c r="DA136" s="179">
        <f>DA137+DA140</f>
        <v>2656.2119699999998</v>
      </c>
      <c r="DB136" s="179">
        <f>DB137+DB140</f>
        <v>2656.2119699999998</v>
      </c>
      <c r="DC136" s="179">
        <f>SUM(DC137,DC140)</f>
        <v>2656.21</v>
      </c>
      <c r="DD136" s="179">
        <f>SUM(DD137,DD140)</f>
        <v>2656.21</v>
      </c>
      <c r="DE136" s="179">
        <f>SUM(DE137,DE140)</f>
        <v>2656.2119699999998</v>
      </c>
    </row>
    <row r="137" spans="1:109">
      <c r="A137" s="177"/>
      <c r="B137" s="187" t="s">
        <v>3</v>
      </c>
      <c r="C137" s="49" t="s">
        <v>54</v>
      </c>
      <c r="D137" s="31">
        <v>1988.16</v>
      </c>
      <c r="E137" s="31">
        <v>2207.9899999999998</v>
      </c>
      <c r="F137" s="31">
        <v>2207.9899999999998</v>
      </c>
      <c r="G137" s="31">
        <v>2207.9899999999998</v>
      </c>
      <c r="H137" s="134">
        <v>1736.59</v>
      </c>
      <c r="I137" s="134">
        <v>1356.8</v>
      </c>
      <c r="J137" s="134">
        <v>188.01</v>
      </c>
      <c r="K137" s="134">
        <v>1168.79</v>
      </c>
      <c r="L137" s="134">
        <f>G137/12</f>
        <v>183.99916666666664</v>
      </c>
      <c r="M137" s="134">
        <v>245.86006</v>
      </c>
      <c r="N137" s="134">
        <v>128.07</v>
      </c>
      <c r="O137" s="134">
        <f>M137*62/100</f>
        <v>152.43323720000001</v>
      </c>
      <c r="P137" s="134">
        <v>16.649999999999999</v>
      </c>
      <c r="Q137" s="134">
        <v>16.100000000000001</v>
      </c>
      <c r="R137" s="134">
        <v>113.07</v>
      </c>
      <c r="S137" s="134">
        <v>71.22</v>
      </c>
      <c r="T137" s="134">
        <f>K137/12</f>
        <v>97.399166666666659</v>
      </c>
      <c r="U137" s="134">
        <v>92.885000000000005</v>
      </c>
      <c r="V137" s="134">
        <v>6.11</v>
      </c>
      <c r="W137" s="134"/>
      <c r="X137" s="51">
        <f t="shared" si="58"/>
        <v>24.363237200000015</v>
      </c>
      <c r="Y137" s="55">
        <f t="shared" si="59"/>
        <v>1.1902337565393926</v>
      </c>
      <c r="Z137" s="134">
        <v>257.77999999999997</v>
      </c>
      <c r="AA137" s="134">
        <v>270.43</v>
      </c>
      <c r="AB137" s="134">
        <v>144.72</v>
      </c>
      <c r="AC137" s="134"/>
      <c r="AD137" s="134">
        <v>15.67</v>
      </c>
      <c r="AE137" s="134"/>
      <c r="AF137" s="134">
        <v>97.4</v>
      </c>
      <c r="AG137" s="134"/>
      <c r="AH137" s="134"/>
      <c r="AI137" s="134"/>
      <c r="AJ137" s="51">
        <f t="shared" si="61"/>
        <v>-144.72</v>
      </c>
      <c r="AK137" s="56">
        <f t="shared" si="62"/>
        <v>0</v>
      </c>
      <c r="AL137" s="134">
        <v>257.77999999999997</v>
      </c>
      <c r="AM137" s="134">
        <v>270.43</v>
      </c>
      <c r="AN137" s="134">
        <v>144.72</v>
      </c>
      <c r="AO137" s="134"/>
      <c r="AP137" s="134">
        <v>15.67</v>
      </c>
      <c r="AQ137" s="134"/>
      <c r="AR137" s="134">
        <v>97.4</v>
      </c>
      <c r="AS137" s="134"/>
      <c r="AT137" s="134"/>
      <c r="AU137" s="134"/>
      <c r="AV137" s="51">
        <f t="shared" si="64"/>
        <v>-144.72</v>
      </c>
      <c r="AW137" s="56">
        <f t="shared" si="65"/>
        <v>0</v>
      </c>
      <c r="AX137" s="31">
        <f>G137/2</f>
        <v>1103.9949999999999</v>
      </c>
      <c r="AY137" s="31">
        <v>2191.25</v>
      </c>
      <c r="AZ137" s="109"/>
      <c r="BA137" s="62">
        <v>898.89</v>
      </c>
      <c r="BB137" s="62"/>
      <c r="BC137" s="62">
        <v>784.67</v>
      </c>
      <c r="BD137" s="62"/>
      <c r="BE137" s="110">
        <v>194.04</v>
      </c>
      <c r="BF137" s="109">
        <v>145.09</v>
      </c>
      <c r="BG137" s="62">
        <v>127.87</v>
      </c>
      <c r="BH137" s="62"/>
      <c r="BI137" s="110"/>
      <c r="BJ137" s="426">
        <f t="shared" si="55"/>
        <v>898.89</v>
      </c>
      <c r="BK137" s="46" t="e">
        <f t="shared" si="56"/>
        <v>#DIV/0!</v>
      </c>
      <c r="BL137" s="428"/>
      <c r="BM137" s="61">
        <v>270.4255</v>
      </c>
      <c r="BN137" s="62"/>
      <c r="BO137" s="470"/>
      <c r="BP137" s="64"/>
      <c r="BQ137" s="61"/>
      <c r="BR137" s="65"/>
      <c r="BS137" s="66"/>
      <c r="BT137" s="64"/>
      <c r="BU137" s="61"/>
      <c r="BV137" s="479"/>
      <c r="BW137" s="66"/>
      <c r="BX137" s="431"/>
      <c r="BY137" s="68">
        <f>F137</f>
        <v>2207.9899999999998</v>
      </c>
      <c r="BZ137" s="69">
        <f>M137+BM137+BQ137+BU137</f>
        <v>516.28556000000003</v>
      </c>
      <c r="CA137" s="61">
        <f>BZ137-BY137</f>
        <v>-1691.7044399999997</v>
      </c>
      <c r="CB137" s="71">
        <f>BZ137/BY137</f>
        <v>0.23382604087880837</v>
      </c>
      <c r="CC137" s="72">
        <f>BZ137-E137</f>
        <v>-1691.7044399999997</v>
      </c>
      <c r="CD137" s="434">
        <f>BZ137-CE137</f>
        <v>359.44556</v>
      </c>
      <c r="CE137" s="62">
        <v>156.84</v>
      </c>
      <c r="CF137" s="73"/>
      <c r="CG137" s="74"/>
      <c r="CH137" s="74"/>
      <c r="CI137" s="74"/>
      <c r="CJ137" s="74"/>
      <c r="CK137" s="74"/>
      <c r="CL137" s="74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31">
        <v>2207.9899999999998</v>
      </c>
      <c r="DB137" s="31">
        <v>2207.9899999999998</v>
      </c>
      <c r="DC137" s="31">
        <v>2207.9899999999998</v>
      </c>
      <c r="DD137" s="31">
        <v>2207.9899999999998</v>
      </c>
      <c r="DE137" s="31">
        <v>2207.9899999999998</v>
      </c>
    </row>
    <row r="138" spans="1:109">
      <c r="A138" s="177"/>
      <c r="B138" s="212" t="s">
        <v>38</v>
      </c>
      <c r="C138" s="213" t="s">
        <v>82</v>
      </c>
      <c r="D138" s="214">
        <v>11</v>
      </c>
      <c r="E138" s="214">
        <v>11</v>
      </c>
      <c r="F138" s="214">
        <v>11</v>
      </c>
      <c r="G138" s="214">
        <v>11</v>
      </c>
      <c r="H138" s="215">
        <v>8</v>
      </c>
      <c r="I138" s="215">
        <v>7</v>
      </c>
      <c r="J138" s="215">
        <v>2</v>
      </c>
      <c r="K138" s="215">
        <v>5</v>
      </c>
      <c r="L138" s="215">
        <v>15</v>
      </c>
      <c r="M138" s="134">
        <v>15</v>
      </c>
      <c r="N138" s="134">
        <v>8</v>
      </c>
      <c r="O138" s="134">
        <v>7.5</v>
      </c>
      <c r="P138" s="134"/>
      <c r="Q138" s="134"/>
      <c r="R138" s="134">
        <v>2</v>
      </c>
      <c r="S138" s="134">
        <v>1</v>
      </c>
      <c r="T138" s="134">
        <v>5</v>
      </c>
      <c r="U138" s="134">
        <v>5</v>
      </c>
      <c r="V138" s="134"/>
      <c r="W138" s="134"/>
      <c r="X138" s="51">
        <f t="shared" si="58"/>
        <v>-0.5</v>
      </c>
      <c r="Y138" s="55">
        <f t="shared" si="59"/>
        <v>0.9375</v>
      </c>
      <c r="Z138" s="215">
        <v>15</v>
      </c>
      <c r="AA138" s="134">
        <v>14.5</v>
      </c>
      <c r="AB138" s="134">
        <v>8</v>
      </c>
      <c r="AC138" s="134"/>
      <c r="AD138" s="134">
        <v>2</v>
      </c>
      <c r="AE138" s="134"/>
      <c r="AF138" s="134">
        <v>5</v>
      </c>
      <c r="AG138" s="134"/>
      <c r="AH138" s="134"/>
      <c r="AI138" s="134"/>
      <c r="AJ138" s="51">
        <f t="shared" si="61"/>
        <v>-8</v>
      </c>
      <c r="AK138" s="56">
        <f t="shared" si="62"/>
        <v>0</v>
      </c>
      <c r="AL138" s="215">
        <v>15</v>
      </c>
      <c r="AM138" s="134">
        <v>14.5</v>
      </c>
      <c r="AN138" s="134">
        <v>8</v>
      </c>
      <c r="AO138" s="134"/>
      <c r="AP138" s="134">
        <v>2</v>
      </c>
      <c r="AQ138" s="134"/>
      <c r="AR138" s="134">
        <v>5</v>
      </c>
      <c r="AS138" s="134"/>
      <c r="AT138" s="134"/>
      <c r="AU138" s="134"/>
      <c r="AV138" s="51">
        <f t="shared" si="64"/>
        <v>-8</v>
      </c>
      <c r="AW138" s="56">
        <f t="shared" si="65"/>
        <v>0</v>
      </c>
      <c r="AX138" s="31">
        <v>15</v>
      </c>
      <c r="AY138" s="31">
        <v>10</v>
      </c>
      <c r="AZ138" s="109"/>
      <c r="BA138" s="62"/>
      <c r="BB138" s="62"/>
      <c r="BC138" s="62"/>
      <c r="BD138" s="62"/>
      <c r="BE138" s="110"/>
      <c r="BF138" s="109"/>
      <c r="BG138" s="62"/>
      <c r="BH138" s="62"/>
      <c r="BI138" s="110"/>
      <c r="BJ138" s="426">
        <f t="shared" si="55"/>
        <v>0</v>
      </c>
      <c r="BK138" s="46" t="e">
        <f t="shared" si="56"/>
        <v>#DIV/0!</v>
      </c>
      <c r="BL138" s="520"/>
      <c r="BM138" s="61">
        <v>14.5</v>
      </c>
      <c r="BN138" s="62"/>
      <c r="BO138" s="470"/>
      <c r="BP138" s="64"/>
      <c r="BQ138" s="61"/>
      <c r="BR138" s="521"/>
      <c r="BS138" s="66"/>
      <c r="BT138" s="64"/>
      <c r="BU138" s="61"/>
      <c r="BV138" s="479"/>
      <c r="BW138" s="66"/>
      <c r="BX138" s="522">
        <v>16</v>
      </c>
      <c r="BY138" s="68">
        <f>F138</f>
        <v>11</v>
      </c>
      <c r="BZ138" s="69">
        <f>(M138+BM138+BQ138+BU138)/4</f>
        <v>7.375</v>
      </c>
      <c r="CA138" s="61">
        <f>BZ138-BY138</f>
        <v>-3.625</v>
      </c>
      <c r="CB138" s="71">
        <f>BZ138/BY138</f>
        <v>0.67045454545454541</v>
      </c>
      <c r="CC138" s="72">
        <f>BZ138-E138</f>
        <v>-3.625</v>
      </c>
      <c r="CD138" s="523">
        <v>10</v>
      </c>
      <c r="CE138" s="524">
        <v>1.5</v>
      </c>
      <c r="CF138" s="73"/>
      <c r="CG138" s="525"/>
      <c r="CH138" s="525"/>
      <c r="CI138" s="525"/>
      <c r="CJ138" s="525"/>
      <c r="CK138" s="525"/>
      <c r="CL138" s="525"/>
      <c r="CM138" s="526"/>
      <c r="CN138" s="526"/>
      <c r="CO138" s="526"/>
      <c r="CP138" s="526"/>
      <c r="CQ138" s="526"/>
      <c r="CR138" s="526"/>
      <c r="CS138" s="526"/>
      <c r="CT138" s="526"/>
      <c r="CU138" s="526"/>
      <c r="CV138" s="526"/>
      <c r="CW138" s="526"/>
      <c r="CX138" s="526"/>
      <c r="CY138" s="526"/>
      <c r="CZ138" s="526"/>
      <c r="DA138" s="31">
        <v>11</v>
      </c>
      <c r="DB138" s="31">
        <v>11</v>
      </c>
      <c r="DC138" s="214">
        <v>11</v>
      </c>
      <c r="DD138" s="214">
        <v>11</v>
      </c>
      <c r="DE138" s="214">
        <v>11</v>
      </c>
    </row>
    <row r="139" spans="1:109">
      <c r="A139" s="177"/>
      <c r="B139" s="190" t="s">
        <v>39</v>
      </c>
      <c r="C139" s="213" t="s">
        <v>83</v>
      </c>
      <c r="D139" s="31">
        <f t="shared" ref="D139:K139" si="67">D137/D138/12*1000</f>
        <v>15061.818181818182</v>
      </c>
      <c r="E139" s="31">
        <f t="shared" si="67"/>
        <v>16727.196969696968</v>
      </c>
      <c r="F139" s="31">
        <f t="shared" si="67"/>
        <v>16727.196969696968</v>
      </c>
      <c r="G139" s="31">
        <f t="shared" si="67"/>
        <v>16727.196969696968</v>
      </c>
      <c r="H139" s="134">
        <f t="shared" si="67"/>
        <v>18089.479166666668</v>
      </c>
      <c r="I139" s="134">
        <f t="shared" si="67"/>
        <v>16152.380952380952</v>
      </c>
      <c r="J139" s="134">
        <f t="shared" si="67"/>
        <v>7833.7499999999991</v>
      </c>
      <c r="K139" s="134">
        <f t="shared" si="67"/>
        <v>19479.833333333332</v>
      </c>
      <c r="L139" s="134">
        <f t="shared" ref="L139:U139" si="68">L137/L138*1000</f>
        <v>12266.611111111109</v>
      </c>
      <c r="M139" s="134">
        <f t="shared" si="68"/>
        <v>16390.670666666669</v>
      </c>
      <c r="N139" s="134">
        <f t="shared" si="68"/>
        <v>16008.75</v>
      </c>
      <c r="O139" s="134">
        <f t="shared" si="68"/>
        <v>20324.431626666668</v>
      </c>
      <c r="P139" s="134"/>
      <c r="Q139" s="134"/>
      <c r="R139" s="134">
        <f t="shared" si="68"/>
        <v>56535</v>
      </c>
      <c r="S139" s="134">
        <f t="shared" si="68"/>
        <v>71220</v>
      </c>
      <c r="T139" s="134">
        <f t="shared" si="68"/>
        <v>19479.833333333332</v>
      </c>
      <c r="U139" s="134">
        <f t="shared" si="68"/>
        <v>18577</v>
      </c>
      <c r="V139" s="134"/>
      <c r="W139" s="134"/>
      <c r="X139" s="51">
        <f t="shared" si="58"/>
        <v>4315.6816266666683</v>
      </c>
      <c r="Y139" s="55">
        <f t="shared" si="59"/>
        <v>1.2695826736420188</v>
      </c>
      <c r="Z139" s="134">
        <f t="shared" ref="Z139:AG139" si="69">Z137/Z138*1000</f>
        <v>17185.333333333332</v>
      </c>
      <c r="AA139" s="134">
        <f t="shared" si="69"/>
        <v>18650.344827586207</v>
      </c>
      <c r="AB139" s="134">
        <f t="shared" si="69"/>
        <v>18090</v>
      </c>
      <c r="AC139" s="134" t="e">
        <f t="shared" si="69"/>
        <v>#DIV/0!</v>
      </c>
      <c r="AD139" s="134">
        <f t="shared" si="69"/>
        <v>7835</v>
      </c>
      <c r="AE139" s="134" t="e">
        <f t="shared" si="69"/>
        <v>#DIV/0!</v>
      </c>
      <c r="AF139" s="134">
        <f t="shared" si="69"/>
        <v>19480</v>
      </c>
      <c r="AG139" s="134" t="e">
        <f t="shared" si="69"/>
        <v>#DIV/0!</v>
      </c>
      <c r="AH139" s="134"/>
      <c r="AI139" s="134"/>
      <c r="AJ139" s="51" t="e">
        <f t="shared" si="61"/>
        <v>#DIV/0!</v>
      </c>
      <c r="AK139" s="56" t="e">
        <f t="shared" si="62"/>
        <v>#DIV/0!</v>
      </c>
      <c r="AL139" s="134">
        <f t="shared" ref="AL139:AS139" si="70">AL137/AL138*1000</f>
        <v>17185.333333333332</v>
      </c>
      <c r="AM139" s="134">
        <f t="shared" si="70"/>
        <v>18650.344827586207</v>
      </c>
      <c r="AN139" s="134">
        <f t="shared" si="70"/>
        <v>18090</v>
      </c>
      <c r="AO139" s="134" t="e">
        <f t="shared" si="70"/>
        <v>#DIV/0!</v>
      </c>
      <c r="AP139" s="134">
        <f t="shared" si="70"/>
        <v>7835</v>
      </c>
      <c r="AQ139" s="134" t="e">
        <f t="shared" si="70"/>
        <v>#DIV/0!</v>
      </c>
      <c r="AR139" s="134">
        <f t="shared" si="70"/>
        <v>19480</v>
      </c>
      <c r="AS139" s="134" t="e">
        <f t="shared" si="70"/>
        <v>#DIV/0!</v>
      </c>
      <c r="AT139" s="134"/>
      <c r="AU139" s="134"/>
      <c r="AV139" s="51" t="e">
        <f t="shared" si="64"/>
        <v>#DIV/0!</v>
      </c>
      <c r="AW139" s="56" t="e">
        <f t="shared" si="65"/>
        <v>#DIV/0!</v>
      </c>
      <c r="AX139" s="31">
        <f>AX137/AX138/6*1000</f>
        <v>12266.611111111111</v>
      </c>
      <c r="AY139" s="31">
        <f>AY137/AY138/12*1000</f>
        <v>18260.416666666668</v>
      </c>
      <c r="AZ139" s="109" t="e">
        <f>AZ137/AZ138/3*1000</f>
        <v>#DIV/0!</v>
      </c>
      <c r="BA139" s="62"/>
      <c r="BB139" s="62"/>
      <c r="BC139" s="62"/>
      <c r="BD139" s="62"/>
      <c r="BE139" s="110"/>
      <c r="BF139" s="109"/>
      <c r="BG139" s="62"/>
      <c r="BH139" s="62"/>
      <c r="BI139" s="110"/>
      <c r="BJ139" s="426" t="e">
        <f t="shared" si="55"/>
        <v>#DIV/0!</v>
      </c>
      <c r="BK139" s="46" t="e">
        <f t="shared" si="56"/>
        <v>#DIV/0!</v>
      </c>
      <c r="BL139" s="520"/>
      <c r="BM139" s="61">
        <f>BM137/BM138*1000</f>
        <v>18650.03448275862</v>
      </c>
      <c r="BN139" s="62"/>
      <c r="BO139" s="470"/>
      <c r="BP139" s="64"/>
      <c r="BQ139" s="61"/>
      <c r="BR139" s="521"/>
      <c r="BS139" s="66"/>
      <c r="BT139" s="64"/>
      <c r="BU139" s="61"/>
      <c r="BV139" s="479"/>
      <c r="BW139" s="66"/>
      <c r="BX139" s="522"/>
      <c r="BY139" s="68"/>
      <c r="BZ139" s="69"/>
      <c r="CA139" s="61"/>
      <c r="CB139" s="71"/>
      <c r="CC139" s="72"/>
      <c r="CD139" s="523"/>
      <c r="CE139" s="524"/>
      <c r="CF139" s="73"/>
      <c r="CG139" s="525"/>
      <c r="CH139" s="525"/>
      <c r="CI139" s="525"/>
      <c r="CJ139" s="525"/>
      <c r="CK139" s="525"/>
      <c r="CL139" s="525"/>
      <c r="CM139" s="526"/>
      <c r="CN139" s="526"/>
      <c r="CO139" s="526"/>
      <c r="CP139" s="526"/>
      <c r="CQ139" s="526"/>
      <c r="CR139" s="526"/>
      <c r="CS139" s="526"/>
      <c r="CT139" s="526"/>
      <c r="CU139" s="526"/>
      <c r="CV139" s="526"/>
      <c r="CW139" s="526"/>
      <c r="CX139" s="526"/>
      <c r="CY139" s="526"/>
      <c r="CZ139" s="526"/>
      <c r="DA139" s="31">
        <f>DA137/DA138/12*1000</f>
        <v>16727.196969696968</v>
      </c>
      <c r="DB139" s="31">
        <f>DB137/DB138/12*1000</f>
        <v>16727.196969696968</v>
      </c>
      <c r="DC139" s="31">
        <f>DC137/DC138/12*1000</f>
        <v>16727.196969696968</v>
      </c>
      <c r="DD139" s="31">
        <f>DD137/DD138/12*1000</f>
        <v>16727.196969696968</v>
      </c>
      <c r="DE139" s="31">
        <f>DE137/DE138/12*1000</f>
        <v>16727.196969696968</v>
      </c>
    </row>
    <row r="140" spans="1:109" ht="12" customHeight="1">
      <c r="A140" s="177"/>
      <c r="B140" s="187" t="s">
        <v>92</v>
      </c>
      <c r="C140" s="49" t="s">
        <v>54</v>
      </c>
      <c r="D140" s="31">
        <v>403.6</v>
      </c>
      <c r="E140" s="31">
        <v>448.22</v>
      </c>
      <c r="F140" s="31">
        <v>448.22</v>
      </c>
      <c r="G140" s="31">
        <v>448.22</v>
      </c>
      <c r="H140" s="134">
        <v>351.59</v>
      </c>
      <c r="I140" s="134">
        <v>275.43</v>
      </c>
      <c r="J140" s="134">
        <v>38.159999999999997</v>
      </c>
      <c r="K140" s="134">
        <v>237.27</v>
      </c>
      <c r="L140" s="134">
        <f>G140/12</f>
        <v>37.351666666666667</v>
      </c>
      <c r="M140" s="134">
        <v>49.821750000000002</v>
      </c>
      <c r="N140" s="134">
        <v>25.95</v>
      </c>
      <c r="O140" s="134">
        <v>30.89</v>
      </c>
      <c r="P140" s="134">
        <v>3.35</v>
      </c>
      <c r="Q140" s="134">
        <v>3.26</v>
      </c>
      <c r="R140" s="134">
        <v>22.95</v>
      </c>
      <c r="S140" s="134">
        <v>14.43</v>
      </c>
      <c r="T140" s="134">
        <f>K140/12</f>
        <v>19.772500000000001</v>
      </c>
      <c r="U140" s="134">
        <v>18.82</v>
      </c>
      <c r="V140" s="134">
        <v>1.24</v>
      </c>
      <c r="W140" s="134"/>
      <c r="X140" s="51">
        <f t="shared" si="58"/>
        <v>4.9400000000000013</v>
      </c>
      <c r="Y140" s="55">
        <f t="shared" si="59"/>
        <v>1.1903660886319847</v>
      </c>
      <c r="Z140" s="134">
        <v>52.25</v>
      </c>
      <c r="AA140" s="134">
        <v>54.664000000000001</v>
      </c>
      <c r="AB140" s="134">
        <v>29.3</v>
      </c>
      <c r="AC140" s="134"/>
      <c r="AD140" s="134">
        <v>3.18</v>
      </c>
      <c r="AE140" s="134"/>
      <c r="AF140" s="134">
        <v>19.77</v>
      </c>
      <c r="AG140" s="134"/>
      <c r="AH140" s="134"/>
      <c r="AI140" s="134"/>
      <c r="AJ140" s="51">
        <f t="shared" si="61"/>
        <v>-29.3</v>
      </c>
      <c r="AK140" s="56">
        <f t="shared" si="62"/>
        <v>0</v>
      </c>
      <c r="AL140" s="134">
        <v>52.25</v>
      </c>
      <c r="AM140" s="134">
        <v>54.664000000000001</v>
      </c>
      <c r="AN140" s="134">
        <v>29.3</v>
      </c>
      <c r="AO140" s="134"/>
      <c r="AP140" s="134">
        <v>3.18</v>
      </c>
      <c r="AQ140" s="134"/>
      <c r="AR140" s="134">
        <v>19.77</v>
      </c>
      <c r="AS140" s="134"/>
      <c r="AT140" s="134"/>
      <c r="AU140" s="134"/>
      <c r="AV140" s="51">
        <f t="shared" si="64"/>
        <v>-29.3</v>
      </c>
      <c r="AW140" s="56">
        <f t="shared" si="65"/>
        <v>0</v>
      </c>
      <c r="AX140" s="31">
        <f>G140/2</f>
        <v>224.11</v>
      </c>
      <c r="AY140" s="31">
        <v>444.82</v>
      </c>
      <c r="AZ140" s="109"/>
      <c r="BA140" s="62">
        <v>181.94</v>
      </c>
      <c r="BB140" s="62">
        <f t="shared" ref="BB140:BG140" si="71">BB137*20.3/100</f>
        <v>0</v>
      </c>
      <c r="BC140" s="62">
        <v>159.29</v>
      </c>
      <c r="BD140" s="62">
        <f t="shared" si="71"/>
        <v>0</v>
      </c>
      <c r="BE140" s="110">
        <v>39.39</v>
      </c>
      <c r="BF140" s="109">
        <f t="shared" si="71"/>
        <v>29.453270000000003</v>
      </c>
      <c r="BG140" s="62">
        <f t="shared" si="71"/>
        <v>25.957609999999999</v>
      </c>
      <c r="BH140" s="62"/>
      <c r="BI140" s="110"/>
      <c r="BJ140" s="426">
        <f t="shared" si="55"/>
        <v>181.94</v>
      </c>
      <c r="BK140" s="46" t="e">
        <f t="shared" si="56"/>
        <v>#DIV/0!</v>
      </c>
      <c r="BL140" s="428"/>
      <c r="BM140" s="61">
        <v>53.940309999999997</v>
      </c>
      <c r="BN140" s="62"/>
      <c r="BO140" s="470"/>
      <c r="BP140" s="64"/>
      <c r="BQ140" s="61"/>
      <c r="BR140" s="65"/>
      <c r="BS140" s="66"/>
      <c r="BT140" s="64"/>
      <c r="BU140" s="61"/>
      <c r="BV140" s="479"/>
      <c r="BW140" s="66"/>
      <c r="BX140" s="431"/>
      <c r="BY140" s="68">
        <f>F140</f>
        <v>448.22</v>
      </c>
      <c r="BZ140" s="69">
        <f t="shared" ref="BZ140:BZ145" si="72">M140+BM140+BQ140+BU140</f>
        <v>103.76205999999999</v>
      </c>
      <c r="CA140" s="61">
        <f>BZ140-BY140</f>
        <v>-344.45794000000001</v>
      </c>
      <c r="CB140" s="71">
        <f>BZ140/BY140</f>
        <v>0.23149805898888934</v>
      </c>
      <c r="CC140" s="72">
        <f t="shared" ref="CC140:CC145" si="73">BZ140-E140</f>
        <v>-344.45794000000001</v>
      </c>
      <c r="CD140" s="434">
        <f>BZ140-CE140</f>
        <v>71.922059999999988</v>
      </c>
      <c r="CE140" s="62">
        <v>31.84</v>
      </c>
      <c r="CF140" s="73"/>
      <c r="CG140" s="74"/>
      <c r="CH140" s="74"/>
      <c r="CI140" s="74"/>
      <c r="CJ140" s="74"/>
      <c r="CK140" s="74"/>
      <c r="CL140" s="74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31">
        <f>DA137*20.3/100</f>
        <v>448.22197</v>
      </c>
      <c r="DB140" s="31">
        <f>DB137*20.3/100</f>
        <v>448.22197</v>
      </c>
      <c r="DC140" s="31">
        <v>448.22</v>
      </c>
      <c r="DD140" s="31">
        <v>448.22</v>
      </c>
      <c r="DE140" s="31">
        <f>DE137*20.3/100</f>
        <v>448.22197</v>
      </c>
    </row>
    <row r="141" spans="1:109" hidden="1">
      <c r="A141" s="177" t="s">
        <v>140</v>
      </c>
      <c r="B141" s="178" t="s">
        <v>2</v>
      </c>
      <c r="C141" s="49" t="s">
        <v>54</v>
      </c>
      <c r="D141" s="179"/>
      <c r="E141" s="179"/>
      <c r="F141" s="179"/>
      <c r="G141" s="179"/>
      <c r="H141" s="180">
        <f t="shared" ref="H141:N141" si="74">H142+H145</f>
        <v>1736.59</v>
      </c>
      <c r="I141" s="180">
        <f t="shared" si="74"/>
        <v>1356.8</v>
      </c>
      <c r="J141" s="180">
        <f t="shared" si="74"/>
        <v>188.01</v>
      </c>
      <c r="K141" s="180">
        <f t="shared" si="74"/>
        <v>1168.79</v>
      </c>
      <c r="L141" s="180">
        <f t="shared" si="74"/>
        <v>0</v>
      </c>
      <c r="M141" s="180">
        <f t="shared" si="74"/>
        <v>255.52006</v>
      </c>
      <c r="N141" s="180">
        <f t="shared" si="74"/>
        <v>128.07</v>
      </c>
      <c r="O141" s="180">
        <v>148.74</v>
      </c>
      <c r="P141" s="180">
        <f>P142+P145</f>
        <v>16.649999999999999</v>
      </c>
      <c r="Q141" s="180">
        <v>19.36</v>
      </c>
      <c r="R141" s="180">
        <v>136.01</v>
      </c>
      <c r="S141" s="180">
        <v>85.66</v>
      </c>
      <c r="T141" s="180">
        <f>T142+T145</f>
        <v>97.399166666666659</v>
      </c>
      <c r="U141" s="180">
        <f>U142+U145</f>
        <v>92.885000000000005</v>
      </c>
      <c r="V141" s="180">
        <v>7.34</v>
      </c>
      <c r="W141" s="180"/>
      <c r="X141" s="181">
        <f t="shared" si="58"/>
        <v>20.670000000000016</v>
      </c>
      <c r="Y141" s="191">
        <f t="shared" si="59"/>
        <v>1.1613961115015228</v>
      </c>
      <c r="Z141" s="180">
        <f t="shared" ref="Z141:AH141" si="75">Z142+Z145</f>
        <v>257.77999999999997</v>
      </c>
      <c r="AA141" s="180">
        <f t="shared" si="75"/>
        <v>274.3</v>
      </c>
      <c r="AB141" s="180">
        <f t="shared" si="75"/>
        <v>144.72</v>
      </c>
      <c r="AC141" s="180">
        <f t="shared" si="75"/>
        <v>0</v>
      </c>
      <c r="AD141" s="180">
        <f t="shared" si="75"/>
        <v>15.67</v>
      </c>
      <c r="AE141" s="180">
        <f t="shared" si="75"/>
        <v>0</v>
      </c>
      <c r="AF141" s="180">
        <f t="shared" si="75"/>
        <v>97.4</v>
      </c>
      <c r="AG141" s="180">
        <f t="shared" si="75"/>
        <v>0</v>
      </c>
      <c r="AH141" s="180">
        <f t="shared" si="75"/>
        <v>0</v>
      </c>
      <c r="AI141" s="180"/>
      <c r="AJ141" s="181">
        <f t="shared" si="61"/>
        <v>-144.72</v>
      </c>
      <c r="AK141" s="192">
        <f t="shared" si="62"/>
        <v>0</v>
      </c>
      <c r="AL141" s="180">
        <f t="shared" ref="AL141:AT141" si="76">AL142+AL145</f>
        <v>257.77999999999997</v>
      </c>
      <c r="AM141" s="180">
        <f t="shared" si="76"/>
        <v>274.3</v>
      </c>
      <c r="AN141" s="180">
        <f t="shared" si="76"/>
        <v>144.72</v>
      </c>
      <c r="AO141" s="180">
        <f t="shared" si="76"/>
        <v>0</v>
      </c>
      <c r="AP141" s="180">
        <f t="shared" si="76"/>
        <v>15.67</v>
      </c>
      <c r="AQ141" s="180">
        <f t="shared" si="76"/>
        <v>0</v>
      </c>
      <c r="AR141" s="180">
        <f t="shared" si="76"/>
        <v>97.4</v>
      </c>
      <c r="AS141" s="180">
        <f t="shared" si="76"/>
        <v>0</v>
      </c>
      <c r="AT141" s="180">
        <f t="shared" si="76"/>
        <v>0</v>
      </c>
      <c r="AU141" s="180"/>
      <c r="AV141" s="181">
        <f t="shared" si="64"/>
        <v>-144.72</v>
      </c>
      <c r="AW141" s="192">
        <f t="shared" si="65"/>
        <v>0</v>
      </c>
      <c r="AX141" s="179">
        <f>G141/2</f>
        <v>0</v>
      </c>
      <c r="AY141" s="179">
        <f>SUM(AY142:AY143)</f>
        <v>0</v>
      </c>
      <c r="AZ141" s="184">
        <f>AZ142+AZ145</f>
        <v>0</v>
      </c>
      <c r="BA141" s="185">
        <f>SUM(BA142:BA143)</f>
        <v>0</v>
      </c>
      <c r="BB141" s="185">
        <f t="shared" ref="BB141:BG141" si="77">SUM(BB142:BB143)</f>
        <v>0</v>
      </c>
      <c r="BC141" s="185">
        <f>SUM(BC142:BC143)</f>
        <v>0</v>
      </c>
      <c r="BD141" s="185">
        <f t="shared" si="77"/>
        <v>0</v>
      </c>
      <c r="BE141" s="186">
        <f>SUM(BE142:BE143)</f>
        <v>0</v>
      </c>
      <c r="BF141" s="184">
        <f t="shared" si="77"/>
        <v>0</v>
      </c>
      <c r="BG141" s="185">
        <f t="shared" si="77"/>
        <v>0</v>
      </c>
      <c r="BH141" s="185"/>
      <c r="BI141" s="186"/>
      <c r="BJ141" s="426">
        <f>BA141-AZ141</f>
        <v>0</v>
      </c>
      <c r="BK141" s="46" t="e">
        <f>BA141/AZ141</f>
        <v>#DIV/0!</v>
      </c>
      <c r="BL141" s="468"/>
      <c r="BM141" s="469">
        <f>BM142+BM145</f>
        <v>274.29950000000002</v>
      </c>
      <c r="BN141" s="264"/>
      <c r="BO141" s="470"/>
      <c r="BP141" s="471"/>
      <c r="BQ141" s="469"/>
      <c r="BR141" s="472"/>
      <c r="BS141" s="473"/>
      <c r="BT141" s="471"/>
      <c r="BU141" s="469"/>
      <c r="BV141" s="472"/>
      <c r="BW141" s="473"/>
      <c r="BX141" s="474">
        <v>2674.02</v>
      </c>
      <c r="BY141" s="475">
        <f>F141</f>
        <v>0</v>
      </c>
      <c r="BZ141" s="320">
        <f t="shared" si="72"/>
        <v>529.81956000000002</v>
      </c>
      <c r="CA141" s="469">
        <f>BZ141-BY141</f>
        <v>529.81956000000002</v>
      </c>
      <c r="CB141" s="476" t="e">
        <f>BZ141/BY141</f>
        <v>#DIV/0!</v>
      </c>
      <c r="CC141" s="72">
        <f t="shared" si="73"/>
        <v>529.81956000000002</v>
      </c>
      <c r="CD141" s="477">
        <f>CD142+CD145</f>
        <v>373.62556000000001</v>
      </c>
      <c r="CE141" s="185">
        <f>CE142+CE145</f>
        <v>156.84</v>
      </c>
      <c r="CF141" s="478"/>
      <c r="CG141" s="465"/>
      <c r="CH141" s="465"/>
      <c r="CI141" s="465"/>
      <c r="CJ141" s="465"/>
      <c r="CK141" s="465"/>
      <c r="CL141" s="465"/>
      <c r="CM141" s="466"/>
      <c r="CN141" s="466"/>
      <c r="CO141" s="466"/>
      <c r="CP141" s="466"/>
      <c r="CQ141" s="466"/>
      <c r="CR141" s="466"/>
      <c r="CS141" s="466"/>
      <c r="CT141" s="466"/>
      <c r="CU141" s="466"/>
      <c r="CV141" s="466"/>
      <c r="CW141" s="466"/>
      <c r="CX141" s="466"/>
      <c r="CY141" s="466"/>
      <c r="CZ141" s="466"/>
      <c r="DA141" s="179">
        <f>SUM(DA142:DA143)</f>
        <v>0</v>
      </c>
      <c r="DB141" s="179">
        <f>SUM(DB142:DB143)</f>
        <v>0</v>
      </c>
      <c r="DC141" s="179"/>
      <c r="DD141" s="179"/>
      <c r="DE141" s="179"/>
    </row>
    <row r="142" spans="1:109" hidden="1">
      <c r="A142" s="177"/>
      <c r="B142" s="187" t="s">
        <v>3</v>
      </c>
      <c r="C142" s="49" t="s">
        <v>54</v>
      </c>
      <c r="D142" s="31"/>
      <c r="E142" s="31"/>
      <c r="F142" s="31"/>
      <c r="G142" s="31"/>
      <c r="H142" s="134">
        <v>1736.59</v>
      </c>
      <c r="I142" s="134">
        <v>1356.8</v>
      </c>
      <c r="J142" s="134">
        <v>188.01</v>
      </c>
      <c r="K142" s="134">
        <v>1168.79</v>
      </c>
      <c r="L142" s="134">
        <f>G142/12</f>
        <v>0</v>
      </c>
      <c r="M142" s="134">
        <v>245.86006</v>
      </c>
      <c r="N142" s="134">
        <v>128.07</v>
      </c>
      <c r="O142" s="134">
        <f>M142*62/100</f>
        <v>152.43323720000001</v>
      </c>
      <c r="P142" s="134">
        <v>16.649999999999999</v>
      </c>
      <c r="Q142" s="134">
        <v>16.100000000000001</v>
      </c>
      <c r="R142" s="134">
        <v>113.07</v>
      </c>
      <c r="S142" s="134">
        <v>71.22</v>
      </c>
      <c r="T142" s="134">
        <f>K142/12</f>
        <v>97.399166666666659</v>
      </c>
      <c r="U142" s="134">
        <v>92.885000000000005</v>
      </c>
      <c r="V142" s="134">
        <v>6.11</v>
      </c>
      <c r="W142" s="134"/>
      <c r="X142" s="51">
        <f t="shared" si="58"/>
        <v>24.363237200000015</v>
      </c>
      <c r="Y142" s="55">
        <f t="shared" si="59"/>
        <v>1.1902337565393926</v>
      </c>
      <c r="Z142" s="134">
        <v>257.77999999999997</v>
      </c>
      <c r="AA142" s="134">
        <v>270.43</v>
      </c>
      <c r="AB142" s="134">
        <v>144.72</v>
      </c>
      <c r="AC142" s="134"/>
      <c r="AD142" s="134">
        <v>15.67</v>
      </c>
      <c r="AE142" s="134"/>
      <c r="AF142" s="134">
        <v>97.4</v>
      </c>
      <c r="AG142" s="134"/>
      <c r="AH142" s="134"/>
      <c r="AI142" s="134"/>
      <c r="AJ142" s="51">
        <f t="shared" si="61"/>
        <v>-144.72</v>
      </c>
      <c r="AK142" s="56">
        <f t="shared" si="62"/>
        <v>0</v>
      </c>
      <c r="AL142" s="134">
        <v>257.77999999999997</v>
      </c>
      <c r="AM142" s="134">
        <v>270.43</v>
      </c>
      <c r="AN142" s="134">
        <v>144.72</v>
      </c>
      <c r="AO142" s="134"/>
      <c r="AP142" s="134">
        <v>15.67</v>
      </c>
      <c r="AQ142" s="134"/>
      <c r="AR142" s="134">
        <v>97.4</v>
      </c>
      <c r="AS142" s="134"/>
      <c r="AT142" s="134"/>
      <c r="AU142" s="134"/>
      <c r="AV142" s="51">
        <f t="shared" si="64"/>
        <v>-144.72</v>
      </c>
      <c r="AW142" s="56">
        <f t="shared" si="65"/>
        <v>0</v>
      </c>
      <c r="AX142" s="31">
        <f>G142/2</f>
        <v>0</v>
      </c>
      <c r="AY142" s="31"/>
      <c r="AZ142" s="109"/>
      <c r="BA142" s="62"/>
      <c r="BB142" s="62"/>
      <c r="BC142" s="62"/>
      <c r="BD142" s="62"/>
      <c r="BE142" s="110"/>
      <c r="BF142" s="109"/>
      <c r="BG142" s="62"/>
      <c r="BH142" s="62"/>
      <c r="BI142" s="110"/>
      <c r="BJ142" s="426">
        <f>BA142-AZ142</f>
        <v>0</v>
      </c>
      <c r="BK142" s="46" t="e">
        <f>BA142/AZ142</f>
        <v>#DIV/0!</v>
      </c>
      <c r="BL142" s="428"/>
      <c r="BM142" s="61">
        <v>270.4255</v>
      </c>
      <c r="BN142" s="62"/>
      <c r="BO142" s="470"/>
      <c r="BP142" s="64"/>
      <c r="BQ142" s="61"/>
      <c r="BR142" s="65"/>
      <c r="BS142" s="66"/>
      <c r="BT142" s="64"/>
      <c r="BU142" s="61"/>
      <c r="BV142" s="479"/>
      <c r="BW142" s="66"/>
      <c r="BX142" s="431"/>
      <c r="BY142" s="68">
        <f>F142</f>
        <v>0</v>
      </c>
      <c r="BZ142" s="69">
        <f t="shared" si="72"/>
        <v>516.28556000000003</v>
      </c>
      <c r="CA142" s="61">
        <f>BZ142-BY142</f>
        <v>516.28556000000003</v>
      </c>
      <c r="CB142" s="71" t="e">
        <f>BZ142/BY142</f>
        <v>#DIV/0!</v>
      </c>
      <c r="CC142" s="72">
        <f t="shared" si="73"/>
        <v>516.28556000000003</v>
      </c>
      <c r="CD142" s="434">
        <f>BZ142-CE142</f>
        <v>359.44556</v>
      </c>
      <c r="CE142" s="62">
        <v>156.84</v>
      </c>
      <c r="CF142" s="73"/>
      <c r="CG142" s="74"/>
      <c r="CH142" s="74"/>
      <c r="CI142" s="74"/>
      <c r="CJ142" s="74"/>
      <c r="CK142" s="74"/>
      <c r="CL142" s="74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31"/>
      <c r="DB142" s="31"/>
      <c r="DC142" s="31"/>
      <c r="DD142" s="31"/>
      <c r="DE142" s="31"/>
    </row>
    <row r="143" spans="1:109" hidden="1">
      <c r="A143" s="177"/>
      <c r="B143" s="187" t="s">
        <v>92</v>
      </c>
      <c r="C143" s="49" t="s">
        <v>54</v>
      </c>
      <c r="D143" s="31"/>
      <c r="E143" s="31"/>
      <c r="F143" s="31"/>
      <c r="G143" s="31"/>
      <c r="H143" s="134">
        <v>351.59</v>
      </c>
      <c r="I143" s="134">
        <v>275.43</v>
      </c>
      <c r="J143" s="134">
        <v>38.159999999999997</v>
      </c>
      <c r="K143" s="134">
        <v>237.27</v>
      </c>
      <c r="L143" s="134">
        <f>G143/12</f>
        <v>0</v>
      </c>
      <c r="M143" s="134">
        <v>49.821750000000002</v>
      </c>
      <c r="N143" s="134">
        <v>25.95</v>
      </c>
      <c r="O143" s="134">
        <v>30.89</v>
      </c>
      <c r="P143" s="134">
        <v>3.35</v>
      </c>
      <c r="Q143" s="134">
        <v>3.26</v>
      </c>
      <c r="R143" s="134">
        <v>22.95</v>
      </c>
      <c r="S143" s="134">
        <v>14.43</v>
      </c>
      <c r="T143" s="134">
        <f>K143/12</f>
        <v>19.772500000000001</v>
      </c>
      <c r="U143" s="134">
        <v>18.82</v>
      </c>
      <c r="V143" s="134">
        <v>1.24</v>
      </c>
      <c r="W143" s="134"/>
      <c r="X143" s="51">
        <f t="shared" si="58"/>
        <v>4.9400000000000013</v>
      </c>
      <c r="Y143" s="55">
        <f t="shared" si="59"/>
        <v>1.1903660886319847</v>
      </c>
      <c r="Z143" s="134">
        <v>52.25</v>
      </c>
      <c r="AA143" s="134">
        <v>54.664000000000001</v>
      </c>
      <c r="AB143" s="134">
        <v>29.3</v>
      </c>
      <c r="AC143" s="134"/>
      <c r="AD143" s="134">
        <v>3.18</v>
      </c>
      <c r="AE143" s="134"/>
      <c r="AF143" s="134">
        <v>19.77</v>
      </c>
      <c r="AG143" s="134"/>
      <c r="AH143" s="134"/>
      <c r="AI143" s="134"/>
      <c r="AJ143" s="51">
        <f t="shared" si="61"/>
        <v>-29.3</v>
      </c>
      <c r="AK143" s="56">
        <f t="shared" si="62"/>
        <v>0</v>
      </c>
      <c r="AL143" s="134">
        <v>52.25</v>
      </c>
      <c r="AM143" s="134">
        <v>54.664000000000001</v>
      </c>
      <c r="AN143" s="134">
        <v>29.3</v>
      </c>
      <c r="AO143" s="134"/>
      <c r="AP143" s="134">
        <v>3.18</v>
      </c>
      <c r="AQ143" s="134"/>
      <c r="AR143" s="134">
        <v>19.77</v>
      </c>
      <c r="AS143" s="134"/>
      <c r="AT143" s="134"/>
      <c r="AU143" s="134"/>
      <c r="AV143" s="51">
        <f t="shared" si="64"/>
        <v>-29.3</v>
      </c>
      <c r="AW143" s="56">
        <f t="shared" si="65"/>
        <v>0</v>
      </c>
      <c r="AX143" s="31">
        <f>G143/2</f>
        <v>0</v>
      </c>
      <c r="AY143" s="31"/>
      <c r="AZ143" s="109"/>
      <c r="BA143" s="62"/>
      <c r="BB143" s="62"/>
      <c r="BC143" s="62"/>
      <c r="BD143" s="62"/>
      <c r="BE143" s="110"/>
      <c r="BF143" s="109"/>
      <c r="BG143" s="62"/>
      <c r="BH143" s="62"/>
      <c r="BI143" s="110"/>
      <c r="BJ143" s="426">
        <f>BA143-AZ143</f>
        <v>0</v>
      </c>
      <c r="BK143" s="46" t="e">
        <f>BA143/AZ143</f>
        <v>#DIV/0!</v>
      </c>
      <c r="BL143" s="428"/>
      <c r="BM143" s="61">
        <v>53.940309999999997</v>
      </c>
      <c r="BN143" s="62"/>
      <c r="BO143" s="470"/>
      <c r="BP143" s="64"/>
      <c r="BQ143" s="61"/>
      <c r="BR143" s="65"/>
      <c r="BS143" s="66"/>
      <c r="BT143" s="64"/>
      <c r="BU143" s="61"/>
      <c r="BV143" s="479"/>
      <c r="BW143" s="66"/>
      <c r="BX143" s="431"/>
      <c r="BY143" s="68">
        <f>F143</f>
        <v>0</v>
      </c>
      <c r="BZ143" s="69">
        <f t="shared" si="72"/>
        <v>103.76205999999999</v>
      </c>
      <c r="CA143" s="61">
        <f>BZ143-BY143</f>
        <v>103.76205999999999</v>
      </c>
      <c r="CB143" s="71" t="e">
        <f>BZ143/BY143</f>
        <v>#DIV/0!</v>
      </c>
      <c r="CC143" s="72">
        <f t="shared" si="73"/>
        <v>103.76205999999999</v>
      </c>
      <c r="CD143" s="434">
        <f>BZ143-CE143</f>
        <v>71.922059999999988</v>
      </c>
      <c r="CE143" s="62">
        <v>31.84</v>
      </c>
      <c r="CF143" s="73"/>
      <c r="CG143" s="74"/>
      <c r="CH143" s="74"/>
      <c r="CI143" s="74"/>
      <c r="CJ143" s="74"/>
      <c r="CK143" s="74"/>
      <c r="CL143" s="74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31"/>
      <c r="DB143" s="31"/>
      <c r="DC143" s="31"/>
      <c r="DD143" s="31"/>
      <c r="DE143" s="31"/>
    </row>
    <row r="144" spans="1:109" hidden="1">
      <c r="A144" s="194" t="s">
        <v>139</v>
      </c>
      <c r="B144" s="199" t="s">
        <v>22</v>
      </c>
      <c r="C144" s="259" t="s">
        <v>54</v>
      </c>
      <c r="D144" s="179">
        <f>SUM(D145)</f>
        <v>40.82</v>
      </c>
      <c r="E144" s="179">
        <f>SUM(E145)</f>
        <v>42</v>
      </c>
      <c r="F144" s="179">
        <v>42</v>
      </c>
      <c r="G144" s="179">
        <v>42</v>
      </c>
      <c r="H144" s="180">
        <f t="shared" ref="H144:U144" si="78">SUM(H145)</f>
        <v>0</v>
      </c>
      <c r="I144" s="180">
        <f t="shared" si="78"/>
        <v>0</v>
      </c>
      <c r="J144" s="180">
        <f t="shared" si="78"/>
        <v>0</v>
      </c>
      <c r="K144" s="180">
        <f t="shared" si="78"/>
        <v>0</v>
      </c>
      <c r="L144" s="180">
        <f t="shared" si="78"/>
        <v>0</v>
      </c>
      <c r="M144" s="180">
        <f t="shared" si="78"/>
        <v>9.66</v>
      </c>
      <c r="N144" s="180">
        <f t="shared" si="78"/>
        <v>0</v>
      </c>
      <c r="O144" s="180">
        <v>5.99</v>
      </c>
      <c r="P144" s="180">
        <v>0</v>
      </c>
      <c r="Q144" s="180">
        <v>0.63</v>
      </c>
      <c r="R144" s="180">
        <f t="shared" si="78"/>
        <v>0</v>
      </c>
      <c r="S144" s="180">
        <v>2.8</v>
      </c>
      <c r="T144" s="180">
        <f t="shared" si="78"/>
        <v>0</v>
      </c>
      <c r="U144" s="180">
        <f t="shared" si="78"/>
        <v>0</v>
      </c>
      <c r="V144" s="180">
        <v>0.24</v>
      </c>
      <c r="W144" s="180"/>
      <c r="X144" s="216"/>
      <c r="Y144" s="191"/>
      <c r="Z144" s="180">
        <f t="shared" ref="Z144:AG144" si="79">SUM(Z145)</f>
        <v>0</v>
      </c>
      <c r="AA144" s="180">
        <f t="shared" si="79"/>
        <v>3.87</v>
      </c>
      <c r="AB144" s="180">
        <f t="shared" si="79"/>
        <v>0</v>
      </c>
      <c r="AC144" s="180">
        <f t="shared" si="79"/>
        <v>0</v>
      </c>
      <c r="AD144" s="180">
        <f t="shared" si="79"/>
        <v>0</v>
      </c>
      <c r="AE144" s="180">
        <f t="shared" si="79"/>
        <v>0</v>
      </c>
      <c r="AF144" s="180">
        <f t="shared" si="79"/>
        <v>0</v>
      </c>
      <c r="AG144" s="180">
        <f t="shared" si="79"/>
        <v>0</v>
      </c>
      <c r="AH144" s="180"/>
      <c r="AI144" s="180"/>
      <c r="AJ144" s="216"/>
      <c r="AK144" s="192"/>
      <c r="AL144" s="180">
        <f t="shared" ref="AL144:AS144" si="80">SUM(AL145)</f>
        <v>0</v>
      </c>
      <c r="AM144" s="180">
        <f t="shared" si="80"/>
        <v>3.87</v>
      </c>
      <c r="AN144" s="180">
        <f t="shared" si="80"/>
        <v>0</v>
      </c>
      <c r="AO144" s="180">
        <f t="shared" si="80"/>
        <v>0</v>
      </c>
      <c r="AP144" s="180">
        <f t="shared" si="80"/>
        <v>0</v>
      </c>
      <c r="AQ144" s="180">
        <f t="shared" si="80"/>
        <v>0</v>
      </c>
      <c r="AR144" s="180">
        <f t="shared" si="80"/>
        <v>0</v>
      </c>
      <c r="AS144" s="180">
        <f t="shared" si="80"/>
        <v>0</v>
      </c>
      <c r="AT144" s="180"/>
      <c r="AU144" s="180"/>
      <c r="AV144" s="216"/>
      <c r="AW144" s="192"/>
      <c r="AX144" s="179">
        <f>G144/2</f>
        <v>21</v>
      </c>
      <c r="AY144" s="179">
        <v>110.46</v>
      </c>
      <c r="AZ144" s="184">
        <f>H144/4</f>
        <v>0</v>
      </c>
      <c r="BA144" s="185">
        <f>SUM(BA145)</f>
        <v>17.46</v>
      </c>
      <c r="BB144" s="185">
        <f t="shared" ref="BB144:BG144" si="81">SUM(BB145)</f>
        <v>0</v>
      </c>
      <c r="BC144" s="185">
        <f t="shared" si="81"/>
        <v>20.440000000000001</v>
      </c>
      <c r="BD144" s="185">
        <f t="shared" si="81"/>
        <v>0</v>
      </c>
      <c r="BE144" s="186">
        <f t="shared" si="81"/>
        <v>2.92</v>
      </c>
      <c r="BF144" s="184">
        <v>0</v>
      </c>
      <c r="BG144" s="185">
        <f t="shared" si="81"/>
        <v>18.84</v>
      </c>
      <c r="BH144" s="185"/>
      <c r="BI144" s="186"/>
      <c r="BJ144" s="426">
        <f t="shared" si="55"/>
        <v>17.46</v>
      </c>
      <c r="BK144" s="481"/>
      <c r="BL144" s="468"/>
      <c r="BM144" s="495">
        <f>SUM(BM145)</f>
        <v>3.8740000000000001</v>
      </c>
      <c r="BN144" s="264"/>
      <c r="BO144" s="470"/>
      <c r="BP144" s="496"/>
      <c r="BQ144" s="495"/>
      <c r="BR144" s="497"/>
      <c r="BS144" s="498"/>
      <c r="BT144" s="496"/>
      <c r="BU144" s="495"/>
      <c r="BV144" s="497"/>
      <c r="BW144" s="498"/>
      <c r="BX144" s="499"/>
      <c r="BY144" s="500"/>
      <c r="BZ144" s="501">
        <f t="shared" si="72"/>
        <v>13.534000000000001</v>
      </c>
      <c r="CA144" s="502"/>
      <c r="CB144" s="503"/>
      <c r="CC144" s="307">
        <f t="shared" si="73"/>
        <v>-28.466000000000001</v>
      </c>
      <c r="CD144" s="477">
        <f>SUM(CD145)</f>
        <v>14.18</v>
      </c>
      <c r="CE144" s="185"/>
      <c r="CF144" s="505"/>
      <c r="CG144" s="465"/>
      <c r="CH144" s="465"/>
      <c r="CI144" s="465"/>
      <c r="CJ144" s="465"/>
      <c r="CK144" s="465"/>
      <c r="CL144" s="465"/>
      <c r="CM144" s="466"/>
      <c r="CN144" s="466"/>
      <c r="CO144" s="466"/>
      <c r="CP144" s="466"/>
      <c r="CQ144" s="466"/>
      <c r="CR144" s="466"/>
      <c r="CS144" s="466"/>
      <c r="CT144" s="466"/>
      <c r="CU144" s="466"/>
      <c r="CV144" s="466"/>
      <c r="CW144" s="466"/>
      <c r="CX144" s="466"/>
      <c r="CY144" s="466"/>
      <c r="CZ144" s="466"/>
      <c r="DA144" s="179">
        <f>SUM(DA145)</f>
        <v>42</v>
      </c>
      <c r="DB144" s="179">
        <f>SUM(DB145)</f>
        <v>42</v>
      </c>
      <c r="DC144" s="179"/>
      <c r="DD144" s="179"/>
      <c r="DE144" s="179"/>
    </row>
    <row r="145" spans="1:110" hidden="1">
      <c r="A145" s="194"/>
      <c r="B145" s="195" t="s">
        <v>25</v>
      </c>
      <c r="C145" s="217" t="s">
        <v>54</v>
      </c>
      <c r="D145" s="31">
        <v>40.82</v>
      </c>
      <c r="E145" s="31">
        <v>42</v>
      </c>
      <c r="F145" s="31">
        <v>40.82</v>
      </c>
      <c r="G145" s="31">
        <v>40.82</v>
      </c>
      <c r="H145" s="145"/>
      <c r="I145" s="145"/>
      <c r="J145" s="145"/>
      <c r="K145" s="145"/>
      <c r="L145" s="145"/>
      <c r="M145" s="145">
        <v>9.66</v>
      </c>
      <c r="N145" s="145"/>
      <c r="O145" s="145">
        <v>9.66</v>
      </c>
      <c r="P145" s="145"/>
      <c r="Q145" s="145"/>
      <c r="R145" s="145"/>
      <c r="S145" s="145"/>
      <c r="T145" s="145"/>
      <c r="U145" s="145"/>
      <c r="V145" s="145"/>
      <c r="W145" s="145"/>
      <c r="X145" s="218"/>
      <c r="Y145" s="197"/>
      <c r="Z145" s="145"/>
      <c r="AA145" s="145">
        <v>3.87</v>
      </c>
      <c r="AB145" s="145"/>
      <c r="AC145" s="145"/>
      <c r="AD145" s="145"/>
      <c r="AE145" s="145"/>
      <c r="AF145" s="145"/>
      <c r="AG145" s="145"/>
      <c r="AH145" s="145"/>
      <c r="AI145" s="145"/>
      <c r="AJ145" s="218"/>
      <c r="AK145" s="198"/>
      <c r="AL145" s="145"/>
      <c r="AM145" s="145">
        <v>3.87</v>
      </c>
      <c r="AN145" s="145"/>
      <c r="AO145" s="145"/>
      <c r="AP145" s="145"/>
      <c r="AQ145" s="145"/>
      <c r="AR145" s="145"/>
      <c r="AS145" s="145"/>
      <c r="AT145" s="145"/>
      <c r="AU145" s="145"/>
      <c r="AV145" s="218"/>
      <c r="AW145" s="198"/>
      <c r="AX145" s="144"/>
      <c r="AY145" s="144">
        <v>110.46</v>
      </c>
      <c r="AZ145" s="149"/>
      <c r="BA145" s="150">
        <v>17.46</v>
      </c>
      <c r="BB145" s="150"/>
      <c r="BC145" s="150">
        <v>20.440000000000001</v>
      </c>
      <c r="BD145" s="150"/>
      <c r="BE145" s="151">
        <v>2.92</v>
      </c>
      <c r="BF145" s="149"/>
      <c r="BG145" s="150">
        <v>18.84</v>
      </c>
      <c r="BH145" s="150"/>
      <c r="BI145" s="151"/>
      <c r="BJ145" s="435">
        <f t="shared" si="55"/>
        <v>17.46</v>
      </c>
      <c r="BK145" s="482"/>
      <c r="BL145" s="437"/>
      <c r="BM145" s="483">
        <v>3.8740000000000001</v>
      </c>
      <c r="BN145" s="150"/>
      <c r="BO145" s="484"/>
      <c r="BP145" s="485"/>
      <c r="BQ145" s="483"/>
      <c r="BR145" s="486"/>
      <c r="BS145" s="487"/>
      <c r="BT145" s="485"/>
      <c r="BU145" s="483"/>
      <c r="BV145" s="486"/>
      <c r="BW145" s="487"/>
      <c r="BX145" s="440"/>
      <c r="BY145" s="488"/>
      <c r="BZ145" s="489">
        <f t="shared" si="72"/>
        <v>13.534000000000001</v>
      </c>
      <c r="CA145" s="490"/>
      <c r="CB145" s="491"/>
      <c r="CC145" s="246">
        <f t="shared" si="73"/>
        <v>-28.466000000000001</v>
      </c>
      <c r="CD145" s="443">
        <v>14.18</v>
      </c>
      <c r="CE145" s="150"/>
      <c r="CF145" s="492"/>
      <c r="CG145" s="74"/>
      <c r="CH145" s="74"/>
      <c r="CI145" s="74"/>
      <c r="CJ145" s="74"/>
      <c r="CK145" s="74"/>
      <c r="CL145" s="74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144">
        <v>42</v>
      </c>
      <c r="DB145" s="144">
        <v>42</v>
      </c>
      <c r="DC145" s="31">
        <v>42</v>
      </c>
      <c r="DD145" s="31">
        <v>63.03</v>
      </c>
      <c r="DE145" s="31">
        <f>48.67+4.02</f>
        <v>52.69</v>
      </c>
      <c r="DF145" s="768"/>
    </row>
    <row r="146" spans="1:110">
      <c r="A146" s="177" t="s">
        <v>139</v>
      </c>
      <c r="B146" s="178" t="s">
        <v>6</v>
      </c>
      <c r="C146" s="259" t="s">
        <v>54</v>
      </c>
      <c r="D146" s="179">
        <f>SUM(D147:D165)</f>
        <v>620.01</v>
      </c>
      <c r="E146" s="179">
        <f>SUM(E147:E165)</f>
        <v>497.2</v>
      </c>
      <c r="F146" s="179">
        <f>SUM(F147:F165)</f>
        <v>497.2</v>
      </c>
      <c r="G146" s="179">
        <f>SUM(G147:G165)</f>
        <v>497.2</v>
      </c>
      <c r="H146" s="180">
        <f t="shared" ref="H146:M146" si="82">SUM(H147:H165)</f>
        <v>0</v>
      </c>
      <c r="I146" s="180">
        <f t="shared" si="82"/>
        <v>136.17499999999998</v>
      </c>
      <c r="J146" s="180">
        <f t="shared" si="82"/>
        <v>87.44</v>
      </c>
      <c r="K146" s="180">
        <f t="shared" si="82"/>
        <v>48.734999999999992</v>
      </c>
      <c r="L146" s="180">
        <f t="shared" si="82"/>
        <v>11.833333333333332</v>
      </c>
      <c r="M146" s="180">
        <f t="shared" si="82"/>
        <v>1.1399999999999999</v>
      </c>
      <c r="N146" s="180">
        <v>44.24</v>
      </c>
      <c r="O146" s="180">
        <v>31.88</v>
      </c>
      <c r="P146" s="180">
        <v>4.92</v>
      </c>
      <c r="Q146" s="180">
        <v>3.37</v>
      </c>
      <c r="R146" s="180">
        <v>77.569999999999993</v>
      </c>
      <c r="S146" s="180">
        <v>14.9</v>
      </c>
      <c r="T146" s="180">
        <f>SUM(T147:T165)</f>
        <v>4.0612499999999994</v>
      </c>
      <c r="U146" s="180">
        <f>SUM(U147:U165)</f>
        <v>0.29699999999999999</v>
      </c>
      <c r="V146" s="180">
        <v>1.28</v>
      </c>
      <c r="W146" s="180"/>
      <c r="X146" s="181"/>
      <c r="Y146" s="191"/>
      <c r="Z146" s="180">
        <f t="shared" ref="Z146:AG146" si="83">SUM(Z147:Z165)</f>
        <v>11.350000000000001</v>
      </c>
      <c r="AA146" s="180">
        <f t="shared" si="83"/>
        <v>12.58</v>
      </c>
      <c r="AB146" s="180">
        <f t="shared" si="83"/>
        <v>0</v>
      </c>
      <c r="AC146" s="180">
        <f t="shared" si="83"/>
        <v>0</v>
      </c>
      <c r="AD146" s="180">
        <f t="shared" si="83"/>
        <v>7.28</v>
      </c>
      <c r="AE146" s="180">
        <f t="shared" si="83"/>
        <v>0</v>
      </c>
      <c r="AF146" s="180">
        <f t="shared" si="83"/>
        <v>4.0600000000000005</v>
      </c>
      <c r="AG146" s="180">
        <f t="shared" si="83"/>
        <v>0</v>
      </c>
      <c r="AH146" s="180"/>
      <c r="AI146" s="180"/>
      <c r="AJ146" s="181"/>
      <c r="AK146" s="192"/>
      <c r="AL146" s="180">
        <f t="shared" ref="AL146:AS146" si="84">SUM(AL147:AL165)</f>
        <v>11.350000000000001</v>
      </c>
      <c r="AM146" s="180">
        <f t="shared" si="84"/>
        <v>12.58</v>
      </c>
      <c r="AN146" s="180">
        <f t="shared" si="84"/>
        <v>0</v>
      </c>
      <c r="AO146" s="180">
        <f t="shared" si="84"/>
        <v>0</v>
      </c>
      <c r="AP146" s="180">
        <f t="shared" si="84"/>
        <v>7.28</v>
      </c>
      <c r="AQ146" s="180">
        <f t="shared" si="84"/>
        <v>0</v>
      </c>
      <c r="AR146" s="180">
        <f t="shared" si="84"/>
        <v>4.0600000000000005</v>
      </c>
      <c r="AS146" s="180">
        <f t="shared" si="84"/>
        <v>0</v>
      </c>
      <c r="AT146" s="180"/>
      <c r="AU146" s="180"/>
      <c r="AV146" s="181"/>
      <c r="AW146" s="192"/>
      <c r="AX146" s="179">
        <f>G146/2</f>
        <v>248.6</v>
      </c>
      <c r="AY146" s="179">
        <f>SUM(AY147:AY165)</f>
        <v>606.82000000000005</v>
      </c>
      <c r="AZ146" s="184">
        <f>SUM(AZ147:AZ165)</f>
        <v>0</v>
      </c>
      <c r="BA146" s="185">
        <f>SUM(BA147:BA165)</f>
        <v>315.94</v>
      </c>
      <c r="BB146" s="185">
        <f t="shared" ref="BB146:BG146" si="85">SUM(BB147:BB165)</f>
        <v>0</v>
      </c>
      <c r="BC146" s="185">
        <f t="shared" si="85"/>
        <v>17.089999999999996</v>
      </c>
      <c r="BD146" s="185">
        <f t="shared" si="85"/>
        <v>0</v>
      </c>
      <c r="BE146" s="186">
        <f t="shared" si="85"/>
        <v>25.79</v>
      </c>
      <c r="BF146" s="184">
        <f t="shared" si="85"/>
        <v>117.58</v>
      </c>
      <c r="BG146" s="185">
        <f t="shared" si="85"/>
        <v>75.05</v>
      </c>
      <c r="BH146" s="185"/>
      <c r="BI146" s="186"/>
      <c r="BJ146" s="426">
        <f t="shared" si="55"/>
        <v>315.94</v>
      </c>
      <c r="BK146" s="481"/>
      <c r="BL146" s="468"/>
      <c r="BM146" s="469">
        <f>SUM(BM147:BM165)</f>
        <v>12.582000000000001</v>
      </c>
      <c r="BN146" s="185"/>
      <c r="BO146" s="527"/>
      <c r="BP146" s="471"/>
      <c r="BQ146" s="469"/>
      <c r="BR146" s="472"/>
      <c r="BS146" s="473"/>
      <c r="BT146" s="471"/>
      <c r="BU146" s="469"/>
      <c r="BV146" s="472"/>
      <c r="BW146" s="473"/>
      <c r="BX146" s="474"/>
      <c r="BY146" s="475"/>
      <c r="BZ146" s="320"/>
      <c r="CA146" s="469"/>
      <c r="CB146" s="476"/>
      <c r="CC146" s="307"/>
      <c r="CD146" s="477"/>
      <c r="CE146" s="185"/>
      <c r="CF146" s="478"/>
      <c r="CG146" s="465"/>
      <c r="CH146" s="465"/>
      <c r="CI146" s="465"/>
      <c r="CJ146" s="465"/>
      <c r="CK146" s="465"/>
      <c r="CL146" s="465"/>
      <c r="CM146" s="466"/>
      <c r="CN146" s="466"/>
      <c r="CO146" s="466"/>
      <c r="CP146" s="466"/>
      <c r="CQ146" s="466"/>
      <c r="CR146" s="466"/>
      <c r="CS146" s="466"/>
      <c r="CT146" s="466"/>
      <c r="CU146" s="466"/>
      <c r="CV146" s="466"/>
      <c r="CW146" s="466"/>
      <c r="CX146" s="466"/>
      <c r="CY146" s="466"/>
      <c r="CZ146" s="466"/>
      <c r="DA146" s="179">
        <f>SUM(DA147:DA165)</f>
        <v>497.2</v>
      </c>
      <c r="DB146" s="179">
        <f>SUM(DB147:DB165)</f>
        <v>497.2</v>
      </c>
      <c r="DC146" s="179">
        <v>550.20000000000005</v>
      </c>
      <c r="DD146" s="179">
        <v>512.16</v>
      </c>
      <c r="DE146" s="179">
        <v>560.89</v>
      </c>
    </row>
    <row r="147" spans="1:110" hidden="1">
      <c r="A147" s="177"/>
      <c r="B147" s="187" t="s">
        <v>13</v>
      </c>
      <c r="C147" s="49" t="s">
        <v>54</v>
      </c>
      <c r="D147" s="31">
        <v>43.15</v>
      </c>
      <c r="E147" s="31">
        <v>45</v>
      </c>
      <c r="F147" s="31">
        <v>45</v>
      </c>
      <c r="G147" s="31">
        <v>45</v>
      </c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51"/>
      <c r="Y147" s="55"/>
      <c r="Z147" s="134"/>
      <c r="AA147" s="134">
        <v>2.5099999999999998</v>
      </c>
      <c r="AB147" s="134"/>
      <c r="AC147" s="134"/>
      <c r="AD147" s="134"/>
      <c r="AE147" s="134"/>
      <c r="AF147" s="134"/>
      <c r="AG147" s="134"/>
      <c r="AH147" s="134"/>
      <c r="AI147" s="134"/>
      <c r="AJ147" s="51"/>
      <c r="AK147" s="56"/>
      <c r="AL147" s="134"/>
      <c r="AM147" s="134">
        <v>2.5099999999999998</v>
      </c>
      <c r="AN147" s="134"/>
      <c r="AO147" s="134"/>
      <c r="AP147" s="134"/>
      <c r="AQ147" s="134"/>
      <c r="AR147" s="134"/>
      <c r="AS147" s="134"/>
      <c r="AT147" s="134"/>
      <c r="AU147" s="134"/>
      <c r="AV147" s="51"/>
      <c r="AW147" s="56"/>
      <c r="AX147" s="31"/>
      <c r="AY147" s="31">
        <v>214.1</v>
      </c>
      <c r="AZ147" s="184"/>
      <c r="BA147" s="150">
        <v>23.87</v>
      </c>
      <c r="BB147" s="62"/>
      <c r="BC147" s="62">
        <v>7.52</v>
      </c>
      <c r="BD147" s="62"/>
      <c r="BE147" s="110">
        <v>11.76</v>
      </c>
      <c r="BF147" s="109">
        <v>100.27</v>
      </c>
      <c r="BG147" s="62"/>
      <c r="BH147" s="62"/>
      <c r="BI147" s="110"/>
      <c r="BJ147" s="426">
        <f t="shared" si="55"/>
        <v>23.87</v>
      </c>
      <c r="BK147" s="46"/>
      <c r="BL147" s="428"/>
      <c r="BM147" s="61">
        <v>2.5110000000000001</v>
      </c>
      <c r="BN147" s="62"/>
      <c r="BO147" s="470"/>
      <c r="BP147" s="64"/>
      <c r="BQ147" s="61"/>
      <c r="BR147" s="65"/>
      <c r="BS147" s="66"/>
      <c r="BT147" s="64"/>
      <c r="BU147" s="61"/>
      <c r="BV147" s="65"/>
      <c r="BW147" s="66"/>
      <c r="BX147" s="431"/>
      <c r="BY147" s="68"/>
      <c r="BZ147" s="69">
        <f>M147+BM147+BQ147+BU147</f>
        <v>2.5110000000000001</v>
      </c>
      <c r="CA147" s="70"/>
      <c r="CB147" s="71"/>
      <c r="CC147" s="72">
        <f>BZ147-E147</f>
        <v>-42.488999999999997</v>
      </c>
      <c r="CD147" s="434">
        <v>9.7200000000000006</v>
      </c>
      <c r="CE147" s="62"/>
      <c r="CF147" s="73"/>
      <c r="CG147" s="74"/>
      <c r="CH147" s="74"/>
      <c r="CI147" s="74"/>
      <c r="CJ147" s="74"/>
      <c r="CK147" s="74"/>
      <c r="CL147" s="74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31">
        <v>45</v>
      </c>
      <c r="DB147" s="31">
        <v>45</v>
      </c>
      <c r="DC147" s="31">
        <v>45</v>
      </c>
      <c r="DD147" s="31">
        <v>96.03</v>
      </c>
      <c r="DE147" s="31">
        <v>45</v>
      </c>
    </row>
    <row r="148" spans="1:110" hidden="1">
      <c r="A148" s="177"/>
      <c r="B148" s="187" t="s">
        <v>311</v>
      </c>
      <c r="C148" s="49" t="s">
        <v>54</v>
      </c>
      <c r="D148" s="31"/>
      <c r="E148" s="31"/>
      <c r="F148" s="31"/>
      <c r="G148" s="31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51"/>
      <c r="Y148" s="55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51"/>
      <c r="AK148" s="56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51"/>
      <c r="AW148" s="56"/>
      <c r="AX148" s="31"/>
      <c r="AY148" s="31">
        <v>2.35</v>
      </c>
      <c r="AZ148" s="184"/>
      <c r="BA148" s="150"/>
      <c r="BB148" s="62"/>
      <c r="BC148" s="62"/>
      <c r="BD148" s="62"/>
      <c r="BE148" s="110"/>
      <c r="BF148" s="109"/>
      <c r="BG148" s="62"/>
      <c r="BH148" s="62"/>
      <c r="BI148" s="110"/>
      <c r="BJ148" s="426"/>
      <c r="BK148" s="46"/>
      <c r="BL148" s="428"/>
      <c r="BM148" s="61"/>
      <c r="BN148" s="62"/>
      <c r="BO148" s="470"/>
      <c r="BP148" s="64"/>
      <c r="BQ148" s="61"/>
      <c r="BR148" s="65"/>
      <c r="BS148" s="66"/>
      <c r="BT148" s="64"/>
      <c r="BU148" s="61"/>
      <c r="BV148" s="65"/>
      <c r="BW148" s="66"/>
      <c r="BX148" s="431"/>
      <c r="BY148" s="68"/>
      <c r="BZ148" s="69"/>
      <c r="CA148" s="70"/>
      <c r="CB148" s="71"/>
      <c r="CC148" s="72"/>
      <c r="CD148" s="434"/>
      <c r="CE148" s="62"/>
      <c r="CF148" s="73"/>
      <c r="CG148" s="74"/>
      <c r="CH148" s="74"/>
      <c r="CI148" s="74"/>
      <c r="CJ148" s="74"/>
      <c r="CK148" s="74"/>
      <c r="CL148" s="74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31"/>
      <c r="DB148" s="31"/>
      <c r="DC148" s="31"/>
      <c r="DD148" s="31"/>
      <c r="DE148" s="31"/>
    </row>
    <row r="149" spans="1:110" ht="24" hidden="1">
      <c r="A149" s="177"/>
      <c r="B149" s="187" t="s">
        <v>209</v>
      </c>
      <c r="C149" s="49" t="s">
        <v>54</v>
      </c>
      <c r="D149" s="31"/>
      <c r="E149" s="31"/>
      <c r="F149" s="31"/>
      <c r="G149" s="31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51"/>
      <c r="Y149" s="55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51"/>
      <c r="AK149" s="56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51"/>
      <c r="AW149" s="56"/>
      <c r="AX149" s="31"/>
      <c r="AY149" s="31"/>
      <c r="AZ149" s="184"/>
      <c r="BA149" s="150"/>
      <c r="BB149" s="62"/>
      <c r="BC149" s="62"/>
      <c r="BD149" s="62"/>
      <c r="BE149" s="110"/>
      <c r="BF149" s="109"/>
      <c r="BG149" s="62">
        <v>6.74</v>
      </c>
      <c r="BH149" s="62"/>
      <c r="BI149" s="110"/>
      <c r="BJ149" s="426"/>
      <c r="BK149" s="46"/>
      <c r="BL149" s="428"/>
      <c r="BM149" s="61"/>
      <c r="BN149" s="62"/>
      <c r="BO149" s="470"/>
      <c r="BP149" s="64"/>
      <c r="BQ149" s="61"/>
      <c r="BR149" s="65"/>
      <c r="BS149" s="66"/>
      <c r="BT149" s="64"/>
      <c r="BU149" s="61"/>
      <c r="BV149" s="65"/>
      <c r="BW149" s="66"/>
      <c r="BX149" s="431"/>
      <c r="BY149" s="68"/>
      <c r="BZ149" s="69"/>
      <c r="CA149" s="70"/>
      <c r="CB149" s="71"/>
      <c r="CC149" s="72"/>
      <c r="CD149" s="434"/>
      <c r="CE149" s="62"/>
      <c r="CF149" s="73"/>
      <c r="CG149" s="74"/>
      <c r="CH149" s="74"/>
      <c r="CI149" s="74"/>
      <c r="CJ149" s="74"/>
      <c r="CK149" s="74"/>
      <c r="CL149" s="74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31"/>
      <c r="DB149" s="31"/>
      <c r="DC149" s="31"/>
      <c r="DD149" s="31"/>
      <c r="DE149" s="31"/>
    </row>
    <row r="150" spans="1:110" ht="24" hidden="1">
      <c r="A150" s="177"/>
      <c r="B150" s="187" t="s">
        <v>229</v>
      </c>
      <c r="C150" s="49" t="s">
        <v>54</v>
      </c>
      <c r="D150" s="31"/>
      <c r="E150" s="31"/>
      <c r="F150" s="31"/>
      <c r="G150" s="31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51"/>
      <c r="Y150" s="55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51"/>
      <c r="AK150" s="56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51"/>
      <c r="AW150" s="56"/>
      <c r="AX150" s="31"/>
      <c r="AY150" s="31"/>
      <c r="AZ150" s="184"/>
      <c r="BA150" s="150"/>
      <c r="BB150" s="62"/>
      <c r="BC150" s="62"/>
      <c r="BD150" s="62"/>
      <c r="BE150" s="110"/>
      <c r="BF150" s="109"/>
      <c r="BG150" s="62">
        <v>13</v>
      </c>
      <c r="BH150" s="62"/>
      <c r="BI150" s="110"/>
      <c r="BJ150" s="426"/>
      <c r="BK150" s="46"/>
      <c r="BL150" s="428"/>
      <c r="BM150" s="61"/>
      <c r="BN150" s="62"/>
      <c r="BO150" s="470"/>
      <c r="BP150" s="64"/>
      <c r="BQ150" s="61"/>
      <c r="BR150" s="65"/>
      <c r="BS150" s="66"/>
      <c r="BT150" s="64"/>
      <c r="BU150" s="61"/>
      <c r="BV150" s="65"/>
      <c r="BW150" s="66"/>
      <c r="BX150" s="431"/>
      <c r="BY150" s="68"/>
      <c r="BZ150" s="69"/>
      <c r="CA150" s="70"/>
      <c r="CB150" s="71"/>
      <c r="CC150" s="72"/>
      <c r="CD150" s="434"/>
      <c r="CE150" s="62"/>
      <c r="CF150" s="73"/>
      <c r="CG150" s="74"/>
      <c r="CH150" s="74"/>
      <c r="CI150" s="74"/>
      <c r="CJ150" s="74"/>
      <c r="CK150" s="74"/>
      <c r="CL150" s="74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31"/>
      <c r="DB150" s="31"/>
      <c r="DC150" s="31"/>
      <c r="DD150" s="31"/>
      <c r="DE150" s="31"/>
    </row>
    <row r="151" spans="1:110" hidden="1">
      <c r="A151" s="177"/>
      <c r="B151" s="187" t="s">
        <v>231</v>
      </c>
      <c r="C151" s="49" t="s">
        <v>54</v>
      </c>
      <c r="D151" s="31"/>
      <c r="E151" s="31"/>
      <c r="F151" s="31"/>
      <c r="G151" s="31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51"/>
      <c r="Y151" s="55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51"/>
      <c r="AK151" s="56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51"/>
      <c r="AW151" s="56"/>
      <c r="AX151" s="31"/>
      <c r="AY151" s="31"/>
      <c r="AZ151" s="184"/>
      <c r="BA151" s="150"/>
      <c r="BB151" s="62"/>
      <c r="BC151" s="62"/>
      <c r="BD151" s="62"/>
      <c r="BE151" s="110"/>
      <c r="BF151" s="109"/>
      <c r="BG151" s="62">
        <v>3.95</v>
      </c>
      <c r="BH151" s="62"/>
      <c r="BI151" s="110"/>
      <c r="BJ151" s="426"/>
      <c r="BK151" s="46"/>
      <c r="BL151" s="428"/>
      <c r="BM151" s="61"/>
      <c r="BN151" s="62"/>
      <c r="BO151" s="470"/>
      <c r="BP151" s="64"/>
      <c r="BQ151" s="61"/>
      <c r="BR151" s="65"/>
      <c r="BS151" s="66"/>
      <c r="BT151" s="64"/>
      <c r="BU151" s="61"/>
      <c r="BV151" s="65"/>
      <c r="BW151" s="66"/>
      <c r="BX151" s="431"/>
      <c r="BY151" s="68"/>
      <c r="BZ151" s="69"/>
      <c r="CA151" s="70"/>
      <c r="CB151" s="71"/>
      <c r="CC151" s="72"/>
      <c r="CD151" s="434"/>
      <c r="CE151" s="62"/>
      <c r="CF151" s="73"/>
      <c r="CG151" s="74"/>
      <c r="CH151" s="74"/>
      <c r="CI151" s="74"/>
      <c r="CJ151" s="74"/>
      <c r="CK151" s="74"/>
      <c r="CL151" s="74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31"/>
      <c r="DB151" s="31"/>
      <c r="DC151" s="31"/>
      <c r="DD151" s="31"/>
      <c r="DE151" s="31"/>
    </row>
    <row r="152" spans="1:110" hidden="1">
      <c r="A152" s="177"/>
      <c r="B152" s="187" t="s">
        <v>207</v>
      </c>
      <c r="C152" s="49" t="s">
        <v>54</v>
      </c>
      <c r="D152" s="31"/>
      <c r="E152" s="31"/>
      <c r="F152" s="31"/>
      <c r="G152" s="31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51"/>
      <c r="Y152" s="55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51"/>
      <c r="AK152" s="56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51"/>
      <c r="AW152" s="56"/>
      <c r="AX152" s="31"/>
      <c r="AY152" s="31"/>
      <c r="AZ152" s="184"/>
      <c r="BA152" s="150"/>
      <c r="BB152" s="62"/>
      <c r="BC152" s="62"/>
      <c r="BD152" s="62"/>
      <c r="BE152" s="110"/>
      <c r="BF152" s="109"/>
      <c r="BG152" s="62">
        <v>1.34</v>
      </c>
      <c r="BH152" s="62"/>
      <c r="BI152" s="110"/>
      <c r="BJ152" s="426"/>
      <c r="BK152" s="46"/>
      <c r="BL152" s="428"/>
      <c r="BM152" s="61"/>
      <c r="BN152" s="62"/>
      <c r="BO152" s="470"/>
      <c r="BP152" s="64"/>
      <c r="BQ152" s="61"/>
      <c r="BR152" s="65"/>
      <c r="BS152" s="66"/>
      <c r="BT152" s="64"/>
      <c r="BU152" s="61"/>
      <c r="BV152" s="65"/>
      <c r="BW152" s="66"/>
      <c r="BX152" s="431"/>
      <c r="BY152" s="68"/>
      <c r="BZ152" s="69"/>
      <c r="CA152" s="70"/>
      <c r="CB152" s="71"/>
      <c r="CC152" s="72"/>
      <c r="CD152" s="434"/>
      <c r="CE152" s="62"/>
      <c r="CF152" s="73"/>
      <c r="CG152" s="74"/>
      <c r="CH152" s="74"/>
      <c r="CI152" s="74"/>
      <c r="CJ152" s="74"/>
      <c r="CK152" s="74"/>
      <c r="CL152" s="74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31"/>
      <c r="DB152" s="31"/>
      <c r="DC152" s="31"/>
      <c r="DD152" s="31"/>
      <c r="DE152" s="31"/>
    </row>
    <row r="153" spans="1:110" ht="24" hidden="1">
      <c r="A153" s="177"/>
      <c r="B153" s="187" t="s">
        <v>208</v>
      </c>
      <c r="C153" s="49" t="s">
        <v>54</v>
      </c>
      <c r="D153" s="31"/>
      <c r="E153" s="31"/>
      <c r="F153" s="31"/>
      <c r="G153" s="31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51"/>
      <c r="Y153" s="55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51"/>
      <c r="AK153" s="56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51"/>
      <c r="AW153" s="56"/>
      <c r="AX153" s="31"/>
      <c r="AY153" s="31"/>
      <c r="AZ153" s="184"/>
      <c r="BA153" s="150"/>
      <c r="BB153" s="62"/>
      <c r="BC153" s="62"/>
      <c r="BD153" s="62"/>
      <c r="BE153" s="110"/>
      <c r="BF153" s="109"/>
      <c r="BG153" s="62">
        <v>1.18</v>
      </c>
      <c r="BH153" s="62"/>
      <c r="BI153" s="110"/>
      <c r="BJ153" s="426"/>
      <c r="BK153" s="46"/>
      <c r="BL153" s="428"/>
      <c r="BM153" s="61"/>
      <c r="BN153" s="62"/>
      <c r="BO153" s="470"/>
      <c r="BP153" s="64"/>
      <c r="BQ153" s="61"/>
      <c r="BR153" s="65"/>
      <c r="BS153" s="66"/>
      <c r="BT153" s="64"/>
      <c r="BU153" s="61"/>
      <c r="BV153" s="65"/>
      <c r="BW153" s="66"/>
      <c r="BX153" s="431"/>
      <c r="BY153" s="68"/>
      <c r="BZ153" s="69"/>
      <c r="CA153" s="70"/>
      <c r="CB153" s="71"/>
      <c r="CC153" s="72"/>
      <c r="CD153" s="434"/>
      <c r="CE153" s="62"/>
      <c r="CF153" s="73"/>
      <c r="CG153" s="74"/>
      <c r="CH153" s="74"/>
      <c r="CI153" s="74"/>
      <c r="CJ153" s="74"/>
      <c r="CK153" s="74"/>
      <c r="CL153" s="74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31"/>
      <c r="DB153" s="31"/>
      <c r="DC153" s="31"/>
      <c r="DD153" s="31"/>
      <c r="DE153" s="31"/>
    </row>
    <row r="154" spans="1:110" hidden="1">
      <c r="A154" s="177"/>
      <c r="B154" s="187" t="s">
        <v>312</v>
      </c>
      <c r="C154" s="49" t="s">
        <v>54</v>
      </c>
      <c r="D154" s="31"/>
      <c r="E154" s="31"/>
      <c r="F154" s="31"/>
      <c r="G154" s="31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51"/>
      <c r="Y154" s="55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51"/>
      <c r="AK154" s="56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51"/>
      <c r="AW154" s="56"/>
      <c r="AX154" s="31"/>
      <c r="AY154" s="31">
        <v>2.81</v>
      </c>
      <c r="AZ154" s="184"/>
      <c r="BA154" s="150"/>
      <c r="BB154" s="62"/>
      <c r="BC154" s="62"/>
      <c r="BD154" s="62"/>
      <c r="BE154" s="110"/>
      <c r="BF154" s="109"/>
      <c r="BG154" s="62"/>
      <c r="BH154" s="62"/>
      <c r="BI154" s="110"/>
      <c r="BJ154" s="426"/>
      <c r="BK154" s="46"/>
      <c r="BL154" s="428"/>
      <c r="BM154" s="61"/>
      <c r="BN154" s="62"/>
      <c r="BO154" s="470"/>
      <c r="BP154" s="64"/>
      <c r="BQ154" s="61"/>
      <c r="BR154" s="65"/>
      <c r="BS154" s="66"/>
      <c r="BT154" s="64"/>
      <c r="BU154" s="61"/>
      <c r="BV154" s="65"/>
      <c r="BW154" s="66"/>
      <c r="BX154" s="431"/>
      <c r="BY154" s="68"/>
      <c r="BZ154" s="69"/>
      <c r="CA154" s="70"/>
      <c r="CB154" s="71"/>
      <c r="CC154" s="72"/>
      <c r="CD154" s="434"/>
      <c r="CE154" s="62"/>
      <c r="CF154" s="73"/>
      <c r="CG154" s="74"/>
      <c r="CH154" s="74"/>
      <c r="CI154" s="74"/>
      <c r="CJ154" s="74"/>
      <c r="CK154" s="74"/>
      <c r="CL154" s="74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31"/>
      <c r="DB154" s="31"/>
      <c r="DC154" s="31"/>
      <c r="DD154" s="31"/>
      <c r="DE154" s="31"/>
    </row>
    <row r="155" spans="1:110" ht="24" hidden="1">
      <c r="A155" s="177"/>
      <c r="B155" s="187" t="s">
        <v>210</v>
      </c>
      <c r="C155" s="49" t="s">
        <v>54</v>
      </c>
      <c r="D155" s="31"/>
      <c r="E155" s="31"/>
      <c r="F155" s="31"/>
      <c r="G155" s="31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51"/>
      <c r="Y155" s="55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51"/>
      <c r="AK155" s="56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51"/>
      <c r="AW155" s="56"/>
      <c r="AX155" s="31"/>
      <c r="AY155" s="31"/>
      <c r="AZ155" s="184"/>
      <c r="BA155" s="150"/>
      <c r="BB155" s="62"/>
      <c r="BC155" s="62"/>
      <c r="BD155" s="62"/>
      <c r="BE155" s="110"/>
      <c r="BF155" s="109"/>
      <c r="BG155" s="62">
        <v>1.72</v>
      </c>
      <c r="BH155" s="62"/>
      <c r="BI155" s="110"/>
      <c r="BJ155" s="426"/>
      <c r="BK155" s="46"/>
      <c r="BL155" s="428"/>
      <c r="BM155" s="61"/>
      <c r="BN155" s="62"/>
      <c r="BO155" s="470"/>
      <c r="BP155" s="64"/>
      <c r="BQ155" s="61"/>
      <c r="BR155" s="65"/>
      <c r="BS155" s="66"/>
      <c r="BT155" s="64"/>
      <c r="BU155" s="61"/>
      <c r="BV155" s="65"/>
      <c r="BW155" s="66"/>
      <c r="BX155" s="431"/>
      <c r="BY155" s="68"/>
      <c r="BZ155" s="69"/>
      <c r="CA155" s="70"/>
      <c r="CB155" s="71"/>
      <c r="CC155" s="72"/>
      <c r="CD155" s="434"/>
      <c r="CE155" s="62"/>
      <c r="CF155" s="73"/>
      <c r="CG155" s="74"/>
      <c r="CH155" s="74"/>
      <c r="CI155" s="74"/>
      <c r="CJ155" s="74"/>
      <c r="CK155" s="74"/>
      <c r="CL155" s="74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31"/>
      <c r="DB155" s="31"/>
      <c r="DC155" s="31"/>
      <c r="DD155" s="31"/>
      <c r="DE155" s="31"/>
    </row>
    <row r="156" spans="1:110" hidden="1">
      <c r="A156" s="177"/>
      <c r="B156" s="187" t="s">
        <v>10</v>
      </c>
      <c r="C156" s="49" t="s">
        <v>54</v>
      </c>
      <c r="D156" s="31">
        <v>123.56</v>
      </c>
      <c r="E156" s="31">
        <v>88</v>
      </c>
      <c r="F156" s="31">
        <v>88</v>
      </c>
      <c r="G156" s="31">
        <v>88</v>
      </c>
      <c r="H156" s="134"/>
      <c r="I156" s="134">
        <v>111.755</v>
      </c>
      <c r="J156" s="134">
        <v>77.09</v>
      </c>
      <c r="K156" s="134">
        <f>I156-J156</f>
        <v>34.664999999999992</v>
      </c>
      <c r="L156" s="134">
        <f>G156/12</f>
        <v>7.333333333333333</v>
      </c>
      <c r="M156" s="134">
        <v>0.96</v>
      </c>
      <c r="N156" s="134"/>
      <c r="O156" s="134"/>
      <c r="P156" s="134"/>
      <c r="Q156" s="134"/>
      <c r="R156" s="134">
        <f>J156/12</f>
        <v>6.4241666666666672</v>
      </c>
      <c r="S156" s="134"/>
      <c r="T156" s="134">
        <f>K156/12</f>
        <v>2.8887499999999995</v>
      </c>
      <c r="U156" s="134">
        <v>0.29699999999999999</v>
      </c>
      <c r="V156" s="134"/>
      <c r="W156" s="134"/>
      <c r="X156" s="51"/>
      <c r="Y156" s="55"/>
      <c r="Z156" s="134">
        <v>9.31</v>
      </c>
      <c r="AA156" s="134"/>
      <c r="AB156" s="134"/>
      <c r="AC156" s="134"/>
      <c r="AD156" s="134">
        <v>6.42</v>
      </c>
      <c r="AE156" s="134"/>
      <c r="AF156" s="134">
        <v>2.89</v>
      </c>
      <c r="AG156" s="134"/>
      <c r="AH156" s="134"/>
      <c r="AI156" s="134"/>
      <c r="AJ156" s="51"/>
      <c r="AK156" s="56"/>
      <c r="AL156" s="134">
        <v>9.31</v>
      </c>
      <c r="AM156" s="134"/>
      <c r="AN156" s="134"/>
      <c r="AO156" s="134"/>
      <c r="AP156" s="134">
        <v>6.42</v>
      </c>
      <c r="AQ156" s="134"/>
      <c r="AR156" s="134">
        <v>2.89</v>
      </c>
      <c r="AS156" s="134"/>
      <c r="AT156" s="134"/>
      <c r="AU156" s="134"/>
      <c r="AV156" s="51"/>
      <c r="AW156" s="56"/>
      <c r="AX156" s="31">
        <f>G156/2</f>
        <v>44</v>
      </c>
      <c r="AY156" s="31">
        <f>2.82</f>
        <v>2.82</v>
      </c>
      <c r="AZ156" s="184"/>
      <c r="BA156" s="150">
        <v>2.73</v>
      </c>
      <c r="BB156" s="62"/>
      <c r="BC156" s="62">
        <v>0.87</v>
      </c>
      <c r="BD156" s="62"/>
      <c r="BE156" s="110">
        <v>0.18</v>
      </c>
      <c r="BF156" s="109">
        <v>0.08</v>
      </c>
      <c r="BG156" s="62"/>
      <c r="BH156" s="62"/>
      <c r="BI156" s="110"/>
      <c r="BJ156" s="426">
        <f t="shared" si="55"/>
        <v>2.73</v>
      </c>
      <c r="BK156" s="46"/>
      <c r="BL156" s="428"/>
      <c r="BM156" s="61"/>
      <c r="BN156" s="62"/>
      <c r="BO156" s="470"/>
      <c r="BP156" s="64"/>
      <c r="BQ156" s="61"/>
      <c r="BR156" s="65"/>
      <c r="BS156" s="66"/>
      <c r="BT156" s="64"/>
      <c r="BU156" s="61"/>
      <c r="BV156" s="65"/>
      <c r="BW156" s="66"/>
      <c r="BX156" s="431"/>
      <c r="BY156" s="68"/>
      <c r="BZ156" s="69">
        <f>M156+BM156+BQ156+BU156</f>
        <v>0.96</v>
      </c>
      <c r="CA156" s="70"/>
      <c r="CB156" s="71"/>
      <c r="CC156" s="72">
        <f t="shared" ref="CC156:CC171" si="86">BZ156-E156</f>
        <v>-87.04</v>
      </c>
      <c r="CD156" s="434">
        <v>13.77</v>
      </c>
      <c r="CE156" s="62"/>
      <c r="CF156" s="73"/>
      <c r="CG156" s="74"/>
      <c r="CH156" s="74"/>
      <c r="CI156" s="74"/>
      <c r="CJ156" s="74"/>
      <c r="CK156" s="74"/>
      <c r="CL156" s="74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31">
        <v>88</v>
      </c>
      <c r="DB156" s="31">
        <v>88</v>
      </c>
      <c r="DC156" s="31">
        <v>88</v>
      </c>
      <c r="DD156" s="31">
        <v>12.45</v>
      </c>
      <c r="DE156" s="31">
        <v>88</v>
      </c>
    </row>
    <row r="157" spans="1:110" hidden="1">
      <c r="A157" s="177"/>
      <c r="B157" s="187" t="s">
        <v>179</v>
      </c>
      <c r="C157" s="49" t="s">
        <v>54</v>
      </c>
      <c r="D157" s="31">
        <v>300</v>
      </c>
      <c r="E157" s="31">
        <v>300</v>
      </c>
      <c r="F157" s="31">
        <v>300</v>
      </c>
      <c r="G157" s="31">
        <v>300</v>
      </c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51"/>
      <c r="Y157" s="55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51"/>
      <c r="AK157" s="56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51"/>
      <c r="AW157" s="56"/>
      <c r="AX157" s="31"/>
      <c r="AY157" s="31">
        <v>297.89</v>
      </c>
      <c r="AZ157" s="184"/>
      <c r="BA157" s="150">
        <v>284.88</v>
      </c>
      <c r="BB157" s="62"/>
      <c r="BC157" s="62"/>
      <c r="BD157" s="62"/>
      <c r="BE157" s="110">
        <v>13.01</v>
      </c>
      <c r="BF157" s="109">
        <v>2.11</v>
      </c>
      <c r="BG157" s="62"/>
      <c r="BH157" s="62"/>
      <c r="BI157" s="110"/>
      <c r="BJ157" s="426"/>
      <c r="BK157" s="46"/>
      <c r="BL157" s="428"/>
      <c r="BM157" s="61"/>
      <c r="BN157" s="62"/>
      <c r="BO157" s="470"/>
      <c r="BP157" s="64"/>
      <c r="BQ157" s="61"/>
      <c r="BR157" s="65"/>
      <c r="BS157" s="66"/>
      <c r="BT157" s="64"/>
      <c r="BU157" s="61"/>
      <c r="BV157" s="65"/>
      <c r="BW157" s="66"/>
      <c r="BX157" s="431"/>
      <c r="BY157" s="68"/>
      <c r="BZ157" s="69"/>
      <c r="CA157" s="70"/>
      <c r="CB157" s="71"/>
      <c r="CC157" s="72"/>
      <c r="CD157" s="434"/>
      <c r="CE157" s="62"/>
      <c r="CF157" s="73"/>
      <c r="CG157" s="74"/>
      <c r="CH157" s="74"/>
      <c r="CI157" s="74"/>
      <c r="CJ157" s="74"/>
      <c r="CK157" s="74"/>
      <c r="CL157" s="74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31">
        <v>300</v>
      </c>
      <c r="DB157" s="31">
        <v>300</v>
      </c>
      <c r="DC157" s="31">
        <v>300</v>
      </c>
      <c r="DD157" s="31">
        <v>300</v>
      </c>
      <c r="DE157" s="31">
        <v>300</v>
      </c>
    </row>
    <row r="158" spans="1:110" hidden="1">
      <c r="A158" s="177"/>
      <c r="B158" s="187" t="s">
        <v>60</v>
      </c>
      <c r="C158" s="49" t="s">
        <v>54</v>
      </c>
      <c r="D158" s="31">
        <v>8.94</v>
      </c>
      <c r="E158" s="31">
        <v>9</v>
      </c>
      <c r="F158" s="31">
        <v>9</v>
      </c>
      <c r="G158" s="31">
        <v>9</v>
      </c>
      <c r="H158" s="134"/>
      <c r="I158" s="134"/>
      <c r="J158" s="134"/>
      <c r="K158" s="134"/>
      <c r="L158" s="134"/>
      <c r="M158" s="134">
        <v>0.18</v>
      </c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51"/>
      <c r="Y158" s="55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51"/>
      <c r="AK158" s="56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51"/>
      <c r="AW158" s="56"/>
      <c r="AX158" s="31"/>
      <c r="AY158" s="31">
        <f>14.72+4.79</f>
        <v>19.510000000000002</v>
      </c>
      <c r="AZ158" s="184"/>
      <c r="BA158" s="62"/>
      <c r="BB158" s="62"/>
      <c r="BC158" s="62"/>
      <c r="BD158" s="62"/>
      <c r="BE158" s="110"/>
      <c r="BF158" s="109"/>
      <c r="BG158" s="62"/>
      <c r="BH158" s="62"/>
      <c r="BI158" s="110"/>
      <c r="BJ158" s="426">
        <f t="shared" si="55"/>
        <v>0</v>
      </c>
      <c r="BK158" s="46"/>
      <c r="BL158" s="428"/>
      <c r="BM158" s="61"/>
      <c r="BN158" s="62"/>
      <c r="BO158" s="470"/>
      <c r="BP158" s="64"/>
      <c r="BQ158" s="61"/>
      <c r="BR158" s="65"/>
      <c r="BS158" s="66"/>
      <c r="BT158" s="64"/>
      <c r="BU158" s="61"/>
      <c r="BV158" s="65"/>
      <c r="BW158" s="66"/>
      <c r="BX158" s="431"/>
      <c r="BY158" s="68"/>
      <c r="BZ158" s="69">
        <f>M158+BM158+BQ158+BU158</f>
        <v>0.18</v>
      </c>
      <c r="CA158" s="70"/>
      <c r="CB158" s="71"/>
      <c r="CC158" s="72">
        <f t="shared" si="86"/>
        <v>-8.82</v>
      </c>
      <c r="CD158" s="434">
        <v>20.92</v>
      </c>
      <c r="CE158" s="62"/>
      <c r="CF158" s="73"/>
      <c r="CG158" s="74"/>
      <c r="CH158" s="74"/>
      <c r="CI158" s="74"/>
      <c r="CJ158" s="74"/>
      <c r="CK158" s="74"/>
      <c r="CL158" s="74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31"/>
      <c r="DB158" s="31"/>
      <c r="DC158" s="31">
        <v>20</v>
      </c>
      <c r="DD158" s="31">
        <v>4</v>
      </c>
      <c r="DE158" s="31">
        <v>20</v>
      </c>
    </row>
    <row r="159" spans="1:110" hidden="1">
      <c r="A159" s="177"/>
      <c r="B159" s="187" t="s">
        <v>199</v>
      </c>
      <c r="C159" s="49" t="s">
        <v>54</v>
      </c>
      <c r="D159" s="31"/>
      <c r="E159" s="31"/>
      <c r="F159" s="31"/>
      <c r="G159" s="31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51"/>
      <c r="Y159" s="55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51"/>
      <c r="AK159" s="56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51"/>
      <c r="AW159" s="56"/>
      <c r="AX159" s="31"/>
      <c r="AY159" s="31"/>
      <c r="AZ159" s="184"/>
      <c r="BA159" s="62"/>
      <c r="BB159" s="62"/>
      <c r="BC159" s="62"/>
      <c r="BD159" s="62"/>
      <c r="BE159" s="110"/>
      <c r="BF159" s="109"/>
      <c r="BG159" s="62">
        <v>6.32</v>
      </c>
      <c r="BH159" s="62"/>
      <c r="BI159" s="110"/>
      <c r="BJ159" s="426"/>
      <c r="BK159" s="46"/>
      <c r="BL159" s="428"/>
      <c r="BM159" s="61"/>
      <c r="BN159" s="62"/>
      <c r="BO159" s="470"/>
      <c r="BP159" s="64"/>
      <c r="BQ159" s="61"/>
      <c r="BR159" s="65"/>
      <c r="BS159" s="66"/>
      <c r="BT159" s="64"/>
      <c r="BU159" s="61"/>
      <c r="BV159" s="65"/>
      <c r="BW159" s="66"/>
      <c r="BX159" s="431"/>
      <c r="BY159" s="68"/>
      <c r="BZ159" s="69"/>
      <c r="CA159" s="70"/>
      <c r="CB159" s="71"/>
      <c r="CC159" s="72"/>
      <c r="CD159" s="434"/>
      <c r="CE159" s="62"/>
      <c r="CF159" s="73"/>
      <c r="CG159" s="74"/>
      <c r="CH159" s="74"/>
      <c r="CI159" s="74"/>
      <c r="CJ159" s="74"/>
      <c r="CK159" s="74"/>
      <c r="CL159" s="74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31"/>
      <c r="DB159" s="31"/>
      <c r="DC159" s="31"/>
      <c r="DD159" s="31"/>
      <c r="DE159" s="31"/>
    </row>
    <row r="160" spans="1:110" ht="24" hidden="1">
      <c r="A160" s="177"/>
      <c r="B160" s="187" t="s">
        <v>211</v>
      </c>
      <c r="C160" s="49" t="s">
        <v>54</v>
      </c>
      <c r="D160" s="31"/>
      <c r="E160" s="31"/>
      <c r="F160" s="31"/>
      <c r="G160" s="31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51"/>
      <c r="Y160" s="55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51"/>
      <c r="AK160" s="56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51"/>
      <c r="AW160" s="56"/>
      <c r="AX160" s="31"/>
      <c r="AY160" s="31"/>
      <c r="AZ160" s="184"/>
      <c r="BA160" s="62"/>
      <c r="BB160" s="62"/>
      <c r="BC160" s="62"/>
      <c r="BD160" s="62"/>
      <c r="BE160" s="110"/>
      <c r="BF160" s="109"/>
      <c r="BG160" s="62">
        <v>9</v>
      </c>
      <c r="BH160" s="62"/>
      <c r="BI160" s="110"/>
      <c r="BJ160" s="426"/>
      <c r="BK160" s="46"/>
      <c r="BL160" s="428"/>
      <c r="BM160" s="61"/>
      <c r="BN160" s="62"/>
      <c r="BO160" s="470"/>
      <c r="BP160" s="64"/>
      <c r="BQ160" s="61"/>
      <c r="BR160" s="65"/>
      <c r="BS160" s="66"/>
      <c r="BT160" s="64"/>
      <c r="BU160" s="61"/>
      <c r="BV160" s="65"/>
      <c r="BW160" s="66"/>
      <c r="BX160" s="431"/>
      <c r="BY160" s="68"/>
      <c r="BZ160" s="69"/>
      <c r="CA160" s="70"/>
      <c r="CB160" s="71"/>
      <c r="CC160" s="72"/>
      <c r="CD160" s="434"/>
      <c r="CE160" s="62"/>
      <c r="CF160" s="73"/>
      <c r="CG160" s="74"/>
      <c r="CH160" s="74"/>
      <c r="CI160" s="74"/>
      <c r="CJ160" s="74"/>
      <c r="CK160" s="74"/>
      <c r="CL160" s="74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31">
        <v>9</v>
      </c>
      <c r="DB160" s="31">
        <v>9</v>
      </c>
      <c r="DC160" s="31"/>
      <c r="DD160" s="31"/>
      <c r="DE160" s="31"/>
    </row>
    <row r="161" spans="1:109" hidden="1">
      <c r="A161" s="177"/>
      <c r="B161" s="187" t="s">
        <v>198</v>
      </c>
      <c r="C161" s="49" t="s">
        <v>54</v>
      </c>
      <c r="D161" s="31"/>
      <c r="E161" s="31"/>
      <c r="F161" s="31"/>
      <c r="G161" s="31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51"/>
      <c r="Y161" s="55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51"/>
      <c r="AK161" s="56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51"/>
      <c r="AW161" s="56"/>
      <c r="AX161" s="31"/>
      <c r="AY161" s="31"/>
      <c r="AZ161" s="184"/>
      <c r="BA161" s="62"/>
      <c r="BB161" s="62"/>
      <c r="BC161" s="62"/>
      <c r="BD161" s="62"/>
      <c r="BE161" s="110"/>
      <c r="BF161" s="109"/>
      <c r="BG161" s="62">
        <v>3.56</v>
      </c>
      <c r="BH161" s="62"/>
      <c r="BI161" s="110"/>
      <c r="BJ161" s="426"/>
      <c r="BK161" s="46"/>
      <c r="BL161" s="428"/>
      <c r="BM161" s="61"/>
      <c r="BN161" s="62"/>
      <c r="BO161" s="470"/>
      <c r="BP161" s="64"/>
      <c r="BQ161" s="61"/>
      <c r="BR161" s="65"/>
      <c r="BS161" s="66"/>
      <c r="BT161" s="64"/>
      <c r="BU161" s="61"/>
      <c r="BV161" s="65"/>
      <c r="BW161" s="66"/>
      <c r="BX161" s="431"/>
      <c r="BY161" s="68"/>
      <c r="BZ161" s="69"/>
      <c r="CA161" s="70"/>
      <c r="CB161" s="71"/>
      <c r="CC161" s="72"/>
      <c r="CD161" s="434"/>
      <c r="CE161" s="62"/>
      <c r="CF161" s="73"/>
      <c r="CG161" s="74"/>
      <c r="CH161" s="74"/>
      <c r="CI161" s="74"/>
      <c r="CJ161" s="74"/>
      <c r="CK161" s="74"/>
      <c r="CL161" s="74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31"/>
      <c r="DB161" s="31"/>
      <c r="DC161" s="31"/>
      <c r="DD161" s="31"/>
      <c r="DE161" s="31"/>
    </row>
    <row r="162" spans="1:109" hidden="1">
      <c r="A162" s="177"/>
      <c r="B162" s="187" t="s">
        <v>230</v>
      </c>
      <c r="C162" s="49" t="s">
        <v>54</v>
      </c>
      <c r="D162" s="31"/>
      <c r="E162" s="31"/>
      <c r="F162" s="31"/>
      <c r="G162" s="31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51"/>
      <c r="Y162" s="55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51"/>
      <c r="AK162" s="56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51"/>
      <c r="AW162" s="56"/>
      <c r="AX162" s="31"/>
      <c r="AY162" s="31"/>
      <c r="AZ162" s="184"/>
      <c r="BA162" s="62"/>
      <c r="BB162" s="62"/>
      <c r="BC162" s="62"/>
      <c r="BD162" s="62"/>
      <c r="BE162" s="110"/>
      <c r="BF162" s="109"/>
      <c r="BG162" s="62">
        <v>3.93</v>
      </c>
      <c r="BH162" s="62"/>
      <c r="BI162" s="110"/>
      <c r="BJ162" s="426"/>
      <c r="BK162" s="46"/>
      <c r="BL162" s="428"/>
      <c r="BM162" s="61"/>
      <c r="BN162" s="62"/>
      <c r="BO162" s="470"/>
      <c r="BP162" s="64"/>
      <c r="BQ162" s="61"/>
      <c r="BR162" s="65"/>
      <c r="BS162" s="66"/>
      <c r="BT162" s="64"/>
      <c r="BU162" s="61"/>
      <c r="BV162" s="65"/>
      <c r="BW162" s="66"/>
      <c r="BX162" s="431"/>
      <c r="BY162" s="68"/>
      <c r="BZ162" s="69"/>
      <c r="CA162" s="70"/>
      <c r="CB162" s="71"/>
      <c r="CC162" s="72"/>
      <c r="CD162" s="434"/>
      <c r="CE162" s="62"/>
      <c r="CF162" s="73"/>
      <c r="CG162" s="74"/>
      <c r="CH162" s="74"/>
      <c r="CI162" s="74"/>
      <c r="CJ162" s="74"/>
      <c r="CK162" s="74"/>
      <c r="CL162" s="74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31"/>
      <c r="DB162" s="31"/>
      <c r="DC162" s="31"/>
      <c r="DD162" s="31"/>
      <c r="DE162" s="31"/>
    </row>
    <row r="163" spans="1:109" hidden="1">
      <c r="A163" s="177"/>
      <c r="B163" s="187" t="s">
        <v>180</v>
      </c>
      <c r="C163" s="49" t="s">
        <v>54</v>
      </c>
      <c r="D163" s="31">
        <v>130.36000000000001</v>
      </c>
      <c r="E163" s="31"/>
      <c r="F163" s="31"/>
      <c r="G163" s="31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51"/>
      <c r="Y163" s="55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51"/>
      <c r="AK163" s="56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51"/>
      <c r="AW163" s="56"/>
      <c r="AX163" s="31"/>
      <c r="AY163" s="31"/>
      <c r="AZ163" s="184"/>
      <c r="BA163" s="62"/>
      <c r="BB163" s="62"/>
      <c r="BC163" s="62"/>
      <c r="BD163" s="62"/>
      <c r="BE163" s="110"/>
      <c r="BF163" s="109"/>
      <c r="BG163" s="62"/>
      <c r="BH163" s="62"/>
      <c r="BI163" s="110"/>
      <c r="BJ163" s="426"/>
      <c r="BK163" s="46"/>
      <c r="BL163" s="428"/>
      <c r="BM163" s="61"/>
      <c r="BN163" s="62"/>
      <c r="BO163" s="470"/>
      <c r="BP163" s="64"/>
      <c r="BQ163" s="61"/>
      <c r="BR163" s="65"/>
      <c r="BS163" s="66"/>
      <c r="BT163" s="64"/>
      <c r="BU163" s="61"/>
      <c r="BV163" s="65"/>
      <c r="BW163" s="66"/>
      <c r="BX163" s="431"/>
      <c r="BY163" s="68"/>
      <c r="BZ163" s="69"/>
      <c r="CA163" s="70"/>
      <c r="CB163" s="71"/>
      <c r="CC163" s="72"/>
      <c r="CD163" s="434"/>
      <c r="CE163" s="62"/>
      <c r="CF163" s="73"/>
      <c r="CG163" s="74"/>
      <c r="CH163" s="74"/>
      <c r="CI163" s="74"/>
      <c r="CJ163" s="74"/>
      <c r="CK163" s="74"/>
      <c r="CL163" s="74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31"/>
      <c r="DB163" s="31"/>
      <c r="DC163" s="31"/>
      <c r="DD163" s="31"/>
      <c r="DE163" s="31"/>
    </row>
    <row r="164" spans="1:109" hidden="1">
      <c r="A164" s="177"/>
      <c r="B164" s="187" t="s">
        <v>248</v>
      </c>
      <c r="C164" s="49" t="s">
        <v>54</v>
      </c>
      <c r="D164" s="31"/>
      <c r="E164" s="31">
        <v>1.2</v>
      </c>
      <c r="F164" s="31">
        <v>1.2</v>
      </c>
      <c r="G164" s="31">
        <v>1.2</v>
      </c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51"/>
      <c r="Y164" s="55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51"/>
      <c r="AK164" s="56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51"/>
      <c r="AW164" s="56"/>
      <c r="AX164" s="31"/>
      <c r="AY164" s="31"/>
      <c r="AZ164" s="184"/>
      <c r="BA164" s="62"/>
      <c r="BB164" s="62"/>
      <c r="BC164" s="62"/>
      <c r="BD164" s="62"/>
      <c r="BE164" s="110"/>
      <c r="BF164" s="109"/>
      <c r="BG164" s="62"/>
      <c r="BH164" s="62"/>
      <c r="BI164" s="110"/>
      <c r="BJ164" s="426"/>
      <c r="BK164" s="46"/>
      <c r="BL164" s="428"/>
      <c r="BM164" s="61"/>
      <c r="BN164" s="62"/>
      <c r="BO164" s="470"/>
      <c r="BP164" s="64"/>
      <c r="BQ164" s="61"/>
      <c r="BR164" s="65"/>
      <c r="BS164" s="66"/>
      <c r="BT164" s="64"/>
      <c r="BU164" s="61"/>
      <c r="BV164" s="65"/>
      <c r="BW164" s="66"/>
      <c r="BX164" s="431"/>
      <c r="BY164" s="68"/>
      <c r="BZ164" s="69"/>
      <c r="CA164" s="70"/>
      <c r="CB164" s="71"/>
      <c r="CC164" s="72"/>
      <c r="CD164" s="434"/>
      <c r="CE164" s="62"/>
      <c r="CF164" s="73"/>
      <c r="CG164" s="74"/>
      <c r="CH164" s="74"/>
      <c r="CI164" s="74"/>
      <c r="CJ164" s="74"/>
      <c r="CK164" s="74"/>
      <c r="CL164" s="74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31">
        <v>1.2</v>
      </c>
      <c r="DB164" s="31">
        <v>1.2</v>
      </c>
      <c r="DC164" s="31">
        <v>1.2</v>
      </c>
      <c r="DD164" s="31">
        <v>1.2</v>
      </c>
      <c r="DE164" s="31">
        <v>1.2</v>
      </c>
    </row>
    <row r="165" spans="1:109" hidden="1">
      <c r="A165" s="177"/>
      <c r="B165" s="187" t="s">
        <v>19</v>
      </c>
      <c r="C165" s="49" t="s">
        <v>54</v>
      </c>
      <c r="D165" s="31">
        <v>14</v>
      </c>
      <c r="E165" s="31">
        <v>54</v>
      </c>
      <c r="F165" s="31">
        <v>54</v>
      </c>
      <c r="G165" s="31">
        <v>54</v>
      </c>
      <c r="H165" s="134"/>
      <c r="I165" s="134">
        <f>22.7+1.72</f>
        <v>24.419999999999998</v>
      </c>
      <c r="J165" s="134">
        <v>10.35</v>
      </c>
      <c r="K165" s="134">
        <f>I165-J165</f>
        <v>14.069999999999999</v>
      </c>
      <c r="L165" s="134">
        <f>G165/12</f>
        <v>4.5</v>
      </c>
      <c r="M165" s="134"/>
      <c r="N165" s="134"/>
      <c r="O165" s="134"/>
      <c r="P165" s="134"/>
      <c r="Q165" s="134"/>
      <c r="R165" s="134">
        <f>J165/12</f>
        <v>0.86249999999999993</v>
      </c>
      <c r="S165" s="134"/>
      <c r="T165" s="134">
        <f>K165/12</f>
        <v>1.1724999999999999</v>
      </c>
      <c r="U165" s="134"/>
      <c r="V165" s="134"/>
      <c r="W165" s="134"/>
      <c r="X165" s="51"/>
      <c r="Y165" s="55"/>
      <c r="Z165" s="134">
        <v>2.04</v>
      </c>
      <c r="AA165" s="134">
        <v>10.07</v>
      </c>
      <c r="AB165" s="134"/>
      <c r="AC165" s="134"/>
      <c r="AD165" s="134">
        <v>0.86</v>
      </c>
      <c r="AE165" s="134"/>
      <c r="AF165" s="134">
        <v>1.17</v>
      </c>
      <c r="AG165" s="134"/>
      <c r="AH165" s="134"/>
      <c r="AI165" s="134"/>
      <c r="AJ165" s="51"/>
      <c r="AK165" s="56"/>
      <c r="AL165" s="134">
        <v>2.04</v>
      </c>
      <c r="AM165" s="134">
        <v>10.07</v>
      </c>
      <c r="AN165" s="134"/>
      <c r="AO165" s="134"/>
      <c r="AP165" s="134">
        <v>0.86</v>
      </c>
      <c r="AQ165" s="134"/>
      <c r="AR165" s="134">
        <v>1.17</v>
      </c>
      <c r="AS165" s="134"/>
      <c r="AT165" s="134"/>
      <c r="AU165" s="134"/>
      <c r="AV165" s="51"/>
      <c r="AW165" s="56"/>
      <c r="AX165" s="31">
        <f>G165/2</f>
        <v>27</v>
      </c>
      <c r="AY165" s="31">
        <v>67.34</v>
      </c>
      <c r="AZ165" s="184"/>
      <c r="BA165" s="62">
        <v>4.46</v>
      </c>
      <c r="BB165" s="62"/>
      <c r="BC165" s="62">
        <v>8.6999999999999993</v>
      </c>
      <c r="BD165" s="62"/>
      <c r="BE165" s="110">
        <v>0.84</v>
      </c>
      <c r="BF165" s="109">
        <v>15.12</v>
      </c>
      <c r="BG165" s="62">
        <v>24.31</v>
      </c>
      <c r="BH165" s="62"/>
      <c r="BI165" s="110"/>
      <c r="BJ165" s="426">
        <f>BA165-AZ165</f>
        <v>4.46</v>
      </c>
      <c r="BK165" s="46"/>
      <c r="BL165" s="428"/>
      <c r="BM165" s="61">
        <v>10.071</v>
      </c>
      <c r="BN165" s="62"/>
      <c r="BO165" s="470"/>
      <c r="BP165" s="64"/>
      <c r="BQ165" s="61"/>
      <c r="BR165" s="65"/>
      <c r="BS165" s="66"/>
      <c r="BT165" s="64"/>
      <c r="BU165" s="61"/>
      <c r="BV165" s="65"/>
      <c r="BW165" s="66"/>
      <c r="BX165" s="431"/>
      <c r="BY165" s="68"/>
      <c r="BZ165" s="69">
        <f>M165+BM165+BQ165+BU165</f>
        <v>10.071</v>
      </c>
      <c r="CA165" s="70"/>
      <c r="CB165" s="71"/>
      <c r="CC165" s="72">
        <f t="shared" si="86"/>
        <v>-43.929000000000002</v>
      </c>
      <c r="CD165" s="434">
        <v>41.02</v>
      </c>
      <c r="CE165" s="62"/>
      <c r="CF165" s="73"/>
      <c r="CG165" s="74"/>
      <c r="CH165" s="74"/>
      <c r="CI165" s="74"/>
      <c r="CJ165" s="74"/>
      <c r="CK165" s="74"/>
      <c r="CL165" s="74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31">
        <v>54</v>
      </c>
      <c r="DB165" s="31">
        <v>54</v>
      </c>
      <c r="DC165" s="31">
        <v>54</v>
      </c>
      <c r="DD165" s="31">
        <v>35.450000000000003</v>
      </c>
      <c r="DE165" s="31">
        <v>54</v>
      </c>
    </row>
    <row r="166" spans="1:109">
      <c r="A166" s="208" t="s">
        <v>264</v>
      </c>
      <c r="B166" s="160" t="s">
        <v>181</v>
      </c>
      <c r="C166" s="397" t="s">
        <v>54</v>
      </c>
      <c r="D166" s="117">
        <f>SUM(D50,D135)</f>
        <v>33808.421579999995</v>
      </c>
      <c r="E166" s="117">
        <f>SUM(E50,E135)</f>
        <v>36523.591580000008</v>
      </c>
      <c r="F166" s="117">
        <f>SUM(F50,F135)</f>
        <v>37886.297090000007</v>
      </c>
      <c r="G166" s="117">
        <f>SUM(G50,G135)</f>
        <v>37886.301749999999</v>
      </c>
      <c r="H166" s="117" t="e">
        <f t="shared" ref="H166:O166" si="87">H50+H135</f>
        <v>#REF!</v>
      </c>
      <c r="I166" s="117" t="e">
        <f t="shared" si="87"/>
        <v>#REF!</v>
      </c>
      <c r="J166" s="117" t="e">
        <f t="shared" si="87"/>
        <v>#REF!</v>
      </c>
      <c r="K166" s="117" t="e">
        <f t="shared" si="87"/>
        <v>#REF!</v>
      </c>
      <c r="L166" s="117" t="e">
        <f t="shared" si="87"/>
        <v>#REF!</v>
      </c>
      <c r="M166" s="117" t="e">
        <f t="shared" si="87"/>
        <v>#REF!</v>
      </c>
      <c r="N166" s="117" t="e">
        <f t="shared" si="87"/>
        <v>#REF!</v>
      </c>
      <c r="O166" s="117" t="e">
        <f t="shared" si="87"/>
        <v>#REF!</v>
      </c>
      <c r="P166" s="117" t="e">
        <f>P135+P50</f>
        <v>#REF!</v>
      </c>
      <c r="Q166" s="117" t="e">
        <f>Q135+Q50</f>
        <v>#REF!</v>
      </c>
      <c r="R166" s="117" t="e">
        <f>R50+R135</f>
        <v>#REF!</v>
      </c>
      <c r="S166" s="117" t="e">
        <f>S50+S135</f>
        <v>#REF!</v>
      </c>
      <c r="T166" s="117" t="e">
        <f>T50+T135</f>
        <v>#REF!</v>
      </c>
      <c r="U166" s="117" t="e">
        <f>U50+U135</f>
        <v>#REF!</v>
      </c>
      <c r="V166" s="117" t="e">
        <f>V135+V50</f>
        <v>#REF!</v>
      </c>
      <c r="W166" s="117"/>
      <c r="X166" s="209" t="e">
        <f t="shared" ref="X166:X173" si="88">O166-N166</f>
        <v>#REF!</v>
      </c>
      <c r="Y166" s="210" t="e">
        <f t="shared" ref="Y166:Y173" si="89">O166/N166</f>
        <v>#REF!</v>
      </c>
      <c r="Z166" s="117" t="e">
        <f t="shared" ref="Z166:AG166" si="90">Z50+Z135</f>
        <v>#REF!</v>
      </c>
      <c r="AA166" s="117" t="e">
        <f t="shared" si="90"/>
        <v>#REF!</v>
      </c>
      <c r="AB166" s="117" t="e">
        <f t="shared" si="90"/>
        <v>#REF!</v>
      </c>
      <c r="AC166" s="117" t="e">
        <f t="shared" si="90"/>
        <v>#REF!</v>
      </c>
      <c r="AD166" s="117" t="e">
        <f t="shared" si="90"/>
        <v>#REF!</v>
      </c>
      <c r="AE166" s="117" t="e">
        <f t="shared" si="90"/>
        <v>#REF!</v>
      </c>
      <c r="AF166" s="117" t="e">
        <f t="shared" si="90"/>
        <v>#REF!</v>
      </c>
      <c r="AG166" s="117" t="e">
        <f t="shared" si="90"/>
        <v>#REF!</v>
      </c>
      <c r="AH166" s="117" t="e">
        <f>AH135+AH50</f>
        <v>#REF!</v>
      </c>
      <c r="AI166" s="117"/>
      <c r="AJ166" s="209" t="e">
        <f t="shared" ref="AJ166:AJ173" si="91">AC166-AB166</f>
        <v>#REF!</v>
      </c>
      <c r="AK166" s="211" t="e">
        <f t="shared" ref="AK166:AK173" si="92">AC166/AB166</f>
        <v>#REF!</v>
      </c>
      <c r="AL166" s="117" t="e">
        <f t="shared" ref="AL166:AS166" si="93">AL50+AL135</f>
        <v>#REF!</v>
      </c>
      <c r="AM166" s="117" t="e">
        <f t="shared" si="93"/>
        <v>#REF!</v>
      </c>
      <c r="AN166" s="117" t="e">
        <f t="shared" si="93"/>
        <v>#REF!</v>
      </c>
      <c r="AO166" s="117" t="e">
        <f t="shared" si="93"/>
        <v>#REF!</v>
      </c>
      <c r="AP166" s="117" t="e">
        <f t="shared" si="93"/>
        <v>#REF!</v>
      </c>
      <c r="AQ166" s="117" t="e">
        <f t="shared" si="93"/>
        <v>#REF!</v>
      </c>
      <c r="AR166" s="117" t="e">
        <f t="shared" si="93"/>
        <v>#REF!</v>
      </c>
      <c r="AS166" s="117" t="e">
        <f t="shared" si="93"/>
        <v>#REF!</v>
      </c>
      <c r="AT166" s="117" t="e">
        <f>AT135+AT50</f>
        <v>#REF!</v>
      </c>
      <c r="AU166" s="117"/>
      <c r="AV166" s="209" t="e">
        <f t="shared" ref="AV166:AV173" si="94">AO166-AN166</f>
        <v>#REF!</v>
      </c>
      <c r="AW166" s="211" t="e">
        <f t="shared" ref="AW166:AW173" si="95">AO166/AN166</f>
        <v>#REF!</v>
      </c>
      <c r="AX166" s="117">
        <f>G166/2</f>
        <v>18943.150874999999</v>
      </c>
      <c r="AY166" s="117">
        <f>AY50+AY135</f>
        <v>30442.689999999995</v>
      </c>
      <c r="AZ166" s="121" t="e">
        <f>AZ50+AZ135</f>
        <v>#REF!</v>
      </c>
      <c r="BA166" s="122">
        <f t="shared" ref="BA166:BG166" si="96">SUM(BA50,BA135)</f>
        <v>14196.910000000002</v>
      </c>
      <c r="BB166" s="122">
        <f t="shared" si="96"/>
        <v>63.75</v>
      </c>
      <c r="BC166" s="122">
        <f t="shared" si="96"/>
        <v>8373.6200000000008</v>
      </c>
      <c r="BD166" s="122">
        <f t="shared" si="96"/>
        <v>0</v>
      </c>
      <c r="BE166" s="123">
        <f t="shared" si="96"/>
        <v>2178.5</v>
      </c>
      <c r="BF166" s="121">
        <f t="shared" si="96"/>
        <v>1240.36139</v>
      </c>
      <c r="BG166" s="122">
        <f t="shared" si="96"/>
        <v>1182.3069700000001</v>
      </c>
      <c r="BH166" s="122"/>
      <c r="BI166" s="123"/>
      <c r="BJ166" s="288" t="e">
        <f>BA166-AZ166</f>
        <v>#REF!</v>
      </c>
      <c r="BK166" s="515" t="e">
        <f t="shared" ref="BK166:BK173" si="97">BA166/AZ166</f>
        <v>#REF!</v>
      </c>
      <c r="BL166" s="408"/>
      <c r="BM166" s="516" t="e">
        <f>BM50+BM135</f>
        <v>#REF!</v>
      </c>
      <c r="BN166" s="122"/>
      <c r="BO166" s="409"/>
      <c r="BP166" s="448"/>
      <c r="BQ166" s="516"/>
      <c r="BR166" s="517"/>
      <c r="BS166" s="518"/>
      <c r="BT166" s="448"/>
      <c r="BU166" s="516"/>
      <c r="BV166" s="517"/>
      <c r="BW166" s="518"/>
      <c r="BX166" s="411" t="e">
        <f>BX50+BX135</f>
        <v>#REF!</v>
      </c>
      <c r="BY166" s="449">
        <f t="shared" ref="BY166:BY173" si="98">F166</f>
        <v>37886.297090000007</v>
      </c>
      <c r="BZ166" s="209" t="e">
        <f>M166+BM166+BQ166+BU166</f>
        <v>#REF!</v>
      </c>
      <c r="CA166" s="516" t="e">
        <f t="shared" ref="CA166:CA173" si="99">BZ166-BY166</f>
        <v>#REF!</v>
      </c>
      <c r="CB166" s="515" t="e">
        <f t="shared" ref="CB166:CB173" si="100">BZ166/BY166</f>
        <v>#REF!</v>
      </c>
      <c r="CC166" s="444" t="e">
        <f t="shared" si="86"/>
        <v>#REF!</v>
      </c>
      <c r="CD166" s="415" t="e">
        <f>CD50+CD135</f>
        <v>#REF!</v>
      </c>
      <c r="CE166" s="122" t="e">
        <f>CE50+CE135</f>
        <v>#REF!</v>
      </c>
      <c r="CF166" s="519">
        <v>0</v>
      </c>
      <c r="CG166" s="450"/>
      <c r="CH166" s="450"/>
      <c r="CI166" s="450"/>
      <c r="CJ166" s="450"/>
      <c r="CK166" s="450"/>
      <c r="CL166" s="450"/>
      <c r="CM166" s="451"/>
      <c r="CN166" s="451"/>
      <c r="CO166" s="451"/>
      <c r="CP166" s="451"/>
      <c r="CQ166" s="451"/>
      <c r="CR166" s="451"/>
      <c r="CS166" s="451"/>
      <c r="CT166" s="451"/>
      <c r="CU166" s="451"/>
      <c r="CV166" s="451"/>
      <c r="CW166" s="451"/>
      <c r="CX166" s="451"/>
      <c r="CY166" s="451"/>
      <c r="CZ166" s="451"/>
      <c r="DA166" s="117" t="e">
        <f>DA50+DA135</f>
        <v>#REF!</v>
      </c>
      <c r="DB166" s="117">
        <f>DB50+DB135</f>
        <v>39337.333720000002</v>
      </c>
      <c r="DC166" s="117">
        <f>SUM(DC50,DC135)</f>
        <v>37103.334749999995</v>
      </c>
      <c r="DD166" s="117">
        <f>SUM(DD50,DD135)</f>
        <v>33226.571749999996</v>
      </c>
      <c r="DE166" s="117">
        <f>SUM(DE50,DE135)</f>
        <v>37262.803719999996</v>
      </c>
    </row>
    <row r="167" spans="1:109" ht="12" customHeight="1">
      <c r="A167" s="208" t="s">
        <v>265</v>
      </c>
      <c r="B167" s="220" t="s">
        <v>287</v>
      </c>
      <c r="C167" s="397" t="s">
        <v>54</v>
      </c>
      <c r="D167" s="117">
        <f>SUM(D168,D234)</f>
        <v>8369.48</v>
      </c>
      <c r="E167" s="117">
        <f>SUM(E168,E234)</f>
        <v>8302.4900000000016</v>
      </c>
      <c r="F167" s="117">
        <f>SUM(F168,F234)</f>
        <v>7757.13</v>
      </c>
      <c r="G167" s="117">
        <f>SUM(G168,G234)</f>
        <v>7757.13</v>
      </c>
      <c r="H167" s="118" t="e">
        <f>H169+H177+H179+H180+#REF!+#REF!+H181+H182+H183+H189+#REF!+H197+H199+#REF!+H202+H205+#REF!+H206+H207+H209+#REF!+#REF!+#REF!+H210+H211+H212+#REF!+#REF!+H217+#REF!+#REF!+#REF!+H218+H220+#REF!+H222+#REF!+H233</f>
        <v>#REF!</v>
      </c>
      <c r="I167" s="118" t="e">
        <f>I169+I177+I179+I180+#REF!+#REF!+I181+I182+I183+I189+#REF!+I197+I199+#REF!+I202+I205+#REF!+I206+I207+I209+#REF!+#REF!+#REF!+I210+I211+I212+#REF!+#REF!+I217+#REF!+#REF!+#REF!+I218+I220+#REF!+I222+#REF!+I233</f>
        <v>#REF!</v>
      </c>
      <c r="J167" s="118" t="e">
        <f>J169+J177+J179+J180+#REF!+#REF!+J181+J182+J183+J189+#REF!+J197+J199+#REF!+J202+J205+#REF!+J206+J207+J209+#REF!+#REF!+#REF!+J210+J211+J212+#REF!+#REF!+J217+#REF!+#REF!+#REF!+J218+J220+#REF!+J222+#REF!+J233</f>
        <v>#REF!</v>
      </c>
      <c r="K167" s="118" t="e">
        <f>K169+K177+K179+K180+#REF!+#REF!+K181+K182+K183+K189+#REF!+K197+K199+#REF!+K202+K205+#REF!+K206+K207+K209+#REF!+#REF!+#REF!+K210+K211+K212+#REF!+#REF!+K217+#REF!+#REF!+#REF!+K218+K220+#REF!+K222+#REF!+K233</f>
        <v>#REF!</v>
      </c>
      <c r="L167" s="118" t="e">
        <f>L169+#REF!+L181+L199+L202+L207+#REF!+#REF!+#REF!+L211+L212+#REF!+L220+#REF!+L222</f>
        <v>#REF!</v>
      </c>
      <c r="M167" s="117" t="e">
        <f>M169+M177+M179+M180+#REF!+#REF!+M181+M182+M189+#REF!+M197+M199+#REF!+M202+M205+#REF!+M206+M209+#REF!+#REF!+#REF!+M210+M211+#REF!+M217+#REF!+#REF!+#REF!+M218+M220+#REF!+M222+#REF!+M233</f>
        <v>#REF!</v>
      </c>
      <c r="N167" s="117">
        <v>185.62</v>
      </c>
      <c r="O167" s="117">
        <v>160.43</v>
      </c>
      <c r="P167" s="117">
        <v>20.63</v>
      </c>
      <c r="Q167" s="117">
        <v>15.07</v>
      </c>
      <c r="R167" s="117">
        <v>136.47999999999999</v>
      </c>
      <c r="S167" s="117">
        <v>135.69999999999999</v>
      </c>
      <c r="T167" s="117">
        <f>T169</f>
        <v>99.396666666666675</v>
      </c>
      <c r="U167" s="117">
        <f>U169+U206</f>
        <v>112.16200000000001</v>
      </c>
      <c r="V167" s="117">
        <v>1.75</v>
      </c>
      <c r="W167" s="117"/>
      <c r="X167" s="209">
        <f t="shared" si="88"/>
        <v>-25.189999999999998</v>
      </c>
      <c r="Y167" s="210">
        <f t="shared" si="89"/>
        <v>0.86429264087921565</v>
      </c>
      <c r="Z167" s="118" t="e">
        <f>Z169+#REF!+Z181+Z199+Z202+Z207+#REF!+#REF!+#REF!+Z211+Z212+#REF!+Z220+#REF!+Z222</f>
        <v>#REF!</v>
      </c>
      <c r="AA167" s="117" t="e">
        <f>AA169+AA177+AA179+AA180+#REF!+#REF!+AA181+AA182+AA189+#REF!+AA197+AA199+#REF!+AA202+AA205+#REF!+AA206+AA209+#REF!+#REF!+#REF!+AA210+AA211+#REF!+AA217+#REF!+#REF!+#REF!+AA218+AA220+#REF!+AA222+#REF!+AA233</f>
        <v>#REF!</v>
      </c>
      <c r="AB167" s="117" t="e">
        <f>AB169+#REF!+AB181+AB199+AB202+AB207+#REF!+#REF!+#REF!+AB211+AB212+#REF!+AB220+#REF!+AB222</f>
        <v>#REF!</v>
      </c>
      <c r="AC167" s="117" t="e">
        <f>AC169+#REF!+AC181+AC199+AC202+AC206+AC220+#REF!+AC222</f>
        <v>#REF!</v>
      </c>
      <c r="AD167" s="117">
        <f>AD169</f>
        <v>37.08</v>
      </c>
      <c r="AE167" s="117">
        <f>AE169</f>
        <v>0</v>
      </c>
      <c r="AF167" s="117">
        <f>AF169</f>
        <v>99.4</v>
      </c>
      <c r="AG167" s="117">
        <f>AG169+AG206</f>
        <v>0</v>
      </c>
      <c r="AH167" s="117"/>
      <c r="AI167" s="117"/>
      <c r="AJ167" s="209" t="e">
        <f t="shared" si="91"/>
        <v>#REF!</v>
      </c>
      <c r="AK167" s="211" t="e">
        <f t="shared" si="92"/>
        <v>#REF!</v>
      </c>
      <c r="AL167" s="118" t="e">
        <f>AL169+#REF!+AL181+AL199+AL202+AL207+#REF!+#REF!+#REF!+AL211+AL212+#REF!+AL220+#REF!+AL222</f>
        <v>#REF!</v>
      </c>
      <c r="AM167" s="117" t="e">
        <f>AM169+AM177+AM179+AM180+#REF!+#REF!+AM181+AM182+AM189+#REF!+AM197+AM199+#REF!+AM202+AM205+#REF!+AM206+AM209+#REF!+#REF!+#REF!+AM210+AM211+#REF!+AM217+#REF!+#REF!+#REF!+AM218+AM220+#REF!+AM222+#REF!+AM233</f>
        <v>#REF!</v>
      </c>
      <c r="AN167" s="117" t="e">
        <f>AN169+#REF!+AN181+AN199+AN202+AN207+#REF!+#REF!+#REF!+AN211+AN212+#REF!+AN220+#REF!+AN222</f>
        <v>#REF!</v>
      </c>
      <c r="AO167" s="117" t="e">
        <f>AO169+#REF!+AO181+AO199+AO202+AO206+AO220+#REF!+AO222</f>
        <v>#REF!</v>
      </c>
      <c r="AP167" s="117">
        <f>AP169</f>
        <v>37.08</v>
      </c>
      <c r="AQ167" s="117">
        <f>AQ169</f>
        <v>0</v>
      </c>
      <c r="AR167" s="117">
        <f>AR169</f>
        <v>99.4</v>
      </c>
      <c r="AS167" s="117">
        <f>AS169+AS206</f>
        <v>0</v>
      </c>
      <c r="AT167" s="117"/>
      <c r="AU167" s="117"/>
      <c r="AV167" s="209" t="e">
        <f t="shared" si="94"/>
        <v>#REF!</v>
      </c>
      <c r="AW167" s="211" t="e">
        <f t="shared" si="95"/>
        <v>#REF!</v>
      </c>
      <c r="AX167" s="117">
        <f>G167/2</f>
        <v>3878.5650000000001</v>
      </c>
      <c r="AY167" s="117">
        <f>AY168+AY234</f>
        <v>8162.6709999999894</v>
      </c>
      <c r="AZ167" s="121" t="e">
        <f>SUM(AZ177:AZ233)+AZ169</f>
        <v>#REF!</v>
      </c>
      <c r="BA167" s="122">
        <f t="shared" ref="BA167:BG167" si="101">SUM(BA168,BA234)</f>
        <v>4817.1000000000004</v>
      </c>
      <c r="BB167" s="122">
        <f t="shared" si="101"/>
        <v>0</v>
      </c>
      <c r="BC167" s="122">
        <f t="shared" si="101"/>
        <v>2022.6654999999901</v>
      </c>
      <c r="BD167" s="122">
        <f t="shared" si="101"/>
        <v>0</v>
      </c>
      <c r="BE167" s="123">
        <f t="shared" si="101"/>
        <v>290.77999999999997</v>
      </c>
      <c r="BF167" s="121">
        <f t="shared" si="101"/>
        <v>593.34055999999998</v>
      </c>
      <c r="BG167" s="122">
        <f t="shared" si="101"/>
        <v>435.76208000000003</v>
      </c>
      <c r="BH167" s="122"/>
      <c r="BI167" s="123"/>
      <c r="BJ167" s="288" t="e">
        <f>BA167-AZ167</f>
        <v>#REF!</v>
      </c>
      <c r="BK167" s="515" t="e">
        <f t="shared" si="97"/>
        <v>#REF!</v>
      </c>
      <c r="BL167" s="528"/>
      <c r="BM167" s="121" t="e">
        <f>SUM(BM177:BM233)+BM169</f>
        <v>#REF!</v>
      </c>
      <c r="BN167" s="122"/>
      <c r="BO167" s="409"/>
      <c r="BP167" s="448"/>
      <c r="BQ167" s="516"/>
      <c r="BR167" s="517"/>
      <c r="BS167" s="518"/>
      <c r="BT167" s="448"/>
      <c r="BU167" s="516"/>
      <c r="BV167" s="517"/>
      <c r="BW167" s="518"/>
      <c r="BX167" s="411">
        <v>3630.11</v>
      </c>
      <c r="BY167" s="449">
        <f t="shared" si="98"/>
        <v>7757.13</v>
      </c>
      <c r="BZ167" s="209" t="e">
        <f>M167+BM167+BQ167+BU167</f>
        <v>#REF!</v>
      </c>
      <c r="CA167" s="516" t="e">
        <f t="shared" si="99"/>
        <v>#REF!</v>
      </c>
      <c r="CB167" s="515" t="e">
        <f t="shared" si="100"/>
        <v>#REF!</v>
      </c>
      <c r="CC167" s="444" t="e">
        <f t="shared" si="86"/>
        <v>#REF!</v>
      </c>
      <c r="CD167" s="529" t="e">
        <f>SUM(CD177:CD233)+CD169</f>
        <v>#REF!</v>
      </c>
      <c r="CE167" s="289">
        <v>521.01</v>
      </c>
      <c r="CF167" s="519">
        <v>0</v>
      </c>
      <c r="CG167" s="450"/>
      <c r="CH167" s="450"/>
      <c r="CI167" s="450"/>
      <c r="CJ167" s="450"/>
      <c r="CK167" s="450"/>
      <c r="CL167" s="450"/>
      <c r="CM167" s="451"/>
      <c r="CN167" s="451"/>
      <c r="CO167" s="451"/>
      <c r="CP167" s="451"/>
      <c r="CQ167" s="451"/>
      <c r="CR167" s="451"/>
      <c r="CS167" s="451"/>
      <c r="CT167" s="451"/>
      <c r="CU167" s="451"/>
      <c r="CV167" s="451"/>
      <c r="CW167" s="451"/>
      <c r="CX167" s="451"/>
      <c r="CY167" s="451"/>
      <c r="CZ167" s="451"/>
      <c r="DA167" s="117">
        <f>DA168+DA234</f>
        <v>8302.48999</v>
      </c>
      <c r="DB167" s="117">
        <f>DB168+DB234</f>
        <v>7757.1299899999995</v>
      </c>
      <c r="DC167" s="117">
        <f>SUM(DC168,DC234)</f>
        <v>7918.4529999999995</v>
      </c>
      <c r="DD167" s="117">
        <f>SUM(DD168,DD234)</f>
        <v>7519.2730000000001</v>
      </c>
      <c r="DE167" s="117">
        <f>SUM(DE168,DE234)</f>
        <v>8012.5439899999992</v>
      </c>
    </row>
    <row r="168" spans="1:109">
      <c r="A168" s="221" t="s">
        <v>266</v>
      </c>
      <c r="B168" s="222" t="s">
        <v>160</v>
      </c>
      <c r="C168" s="398" t="s">
        <v>54</v>
      </c>
      <c r="D168" s="224">
        <f>SUM(D169,D174,D178,D232)</f>
        <v>5808.6799999999994</v>
      </c>
      <c r="E168" s="224">
        <f>SUM(E169,E174,E178,E232)</f>
        <v>5945.6100000000006</v>
      </c>
      <c r="F168" s="224">
        <f>SUM(F169,F174,F178,F232)</f>
        <v>5400.25</v>
      </c>
      <c r="G168" s="224">
        <f>SUM(G169,G174,G178,G232)</f>
        <v>5400.25</v>
      </c>
      <c r="H168" s="225"/>
      <c r="I168" s="225"/>
      <c r="J168" s="225"/>
      <c r="K168" s="225"/>
      <c r="L168" s="225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6"/>
      <c r="Y168" s="227"/>
      <c r="Z168" s="225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6"/>
      <c r="AK168" s="228"/>
      <c r="AL168" s="225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6"/>
      <c r="AW168" s="228"/>
      <c r="AX168" s="224"/>
      <c r="AY168" s="224">
        <f>SUM(AY169,AY174,AY178,AY232,AY228)</f>
        <v>5851.610999999989</v>
      </c>
      <c r="AZ168" s="229"/>
      <c r="BA168" s="230">
        <f t="shared" ref="BA168:BG168" si="102">SUM(BA169,BA174,BA178,BA232)</f>
        <v>3361.01</v>
      </c>
      <c r="BB168" s="230">
        <f t="shared" si="102"/>
        <v>0</v>
      </c>
      <c r="BC168" s="230">
        <f t="shared" si="102"/>
        <v>1430.9949999999901</v>
      </c>
      <c r="BD168" s="230">
        <f t="shared" si="102"/>
        <v>0</v>
      </c>
      <c r="BE168" s="231">
        <f t="shared" si="102"/>
        <v>126.32999999999998</v>
      </c>
      <c r="BF168" s="229">
        <f t="shared" si="102"/>
        <v>373.72055999999998</v>
      </c>
      <c r="BG168" s="230">
        <f t="shared" si="102"/>
        <v>395.75458000000003</v>
      </c>
      <c r="BH168" s="230"/>
      <c r="BI168" s="231"/>
      <c r="BJ168" s="530"/>
      <c r="BK168" s="531"/>
      <c r="BL168" s="532"/>
      <c r="BM168" s="229"/>
      <c r="BN168" s="230"/>
      <c r="BO168" s="533"/>
      <c r="BP168" s="534"/>
      <c r="BQ168" s="535"/>
      <c r="BR168" s="536"/>
      <c r="BS168" s="537"/>
      <c r="BT168" s="534"/>
      <c r="BU168" s="535"/>
      <c r="BV168" s="536"/>
      <c r="BW168" s="537"/>
      <c r="BX168" s="538"/>
      <c r="BY168" s="539"/>
      <c r="BZ168" s="226"/>
      <c r="CA168" s="535"/>
      <c r="CB168" s="531"/>
      <c r="CC168" s="293"/>
      <c r="CD168" s="540"/>
      <c r="CE168" s="541"/>
      <c r="CF168" s="542"/>
      <c r="CG168" s="543"/>
      <c r="CH168" s="543"/>
      <c r="CI168" s="543"/>
      <c r="CJ168" s="543"/>
      <c r="CK168" s="543"/>
      <c r="CL168" s="543"/>
      <c r="CM168" s="544"/>
      <c r="CN168" s="544"/>
      <c r="CO168" s="544"/>
      <c r="CP168" s="544"/>
      <c r="CQ168" s="544"/>
      <c r="CR168" s="544"/>
      <c r="CS168" s="544"/>
      <c r="CT168" s="544"/>
      <c r="CU168" s="544"/>
      <c r="CV168" s="544"/>
      <c r="CW168" s="544"/>
      <c r="CX168" s="544"/>
      <c r="CY168" s="544"/>
      <c r="CZ168" s="544"/>
      <c r="DA168" s="224">
        <f>SUM(DA169,DA174,DA178,DA232)</f>
        <v>5945.6149099999993</v>
      </c>
      <c r="DB168" s="224">
        <f>SUM(DB169,DB174,DB178,DB232)</f>
        <v>5400.2549099999997</v>
      </c>
      <c r="DC168" s="224">
        <f>SUM(DC169,DC174,DC178,DC232,DC228)</f>
        <v>5446.75</v>
      </c>
      <c r="DD168" s="224">
        <f>SUM(DD169,DD174,DD178,DD232,DD228)</f>
        <v>5114.37</v>
      </c>
      <c r="DE168" s="224">
        <f>SUM(DE169,DE174,DE178,DE232,DE228)</f>
        <v>5502.474909999999</v>
      </c>
    </row>
    <row r="169" spans="1:109">
      <c r="A169" s="232" t="s">
        <v>267</v>
      </c>
      <c r="B169" s="166" t="s">
        <v>2</v>
      </c>
      <c r="C169" s="266" t="s">
        <v>54</v>
      </c>
      <c r="D169" s="233">
        <f>SUM(D170,D173)</f>
        <v>4189.8999999999996</v>
      </c>
      <c r="E169" s="233">
        <f>SUM(E170,E173)</f>
        <v>4327.1499999999996</v>
      </c>
      <c r="F169" s="233">
        <f>SUM(F170,F173)</f>
        <v>4327.1499999999996</v>
      </c>
      <c r="G169" s="233">
        <f>SUM(G170,G173)</f>
        <v>4327.1499999999996</v>
      </c>
      <c r="H169" s="234">
        <f t="shared" ref="H169:U169" si="103">H170+H173</f>
        <v>1857.17</v>
      </c>
      <c r="I169" s="234">
        <f t="shared" si="103"/>
        <v>1637.76</v>
      </c>
      <c r="J169" s="234">
        <f t="shared" si="103"/>
        <v>445</v>
      </c>
      <c r="K169" s="234">
        <f t="shared" si="103"/>
        <v>1192.76</v>
      </c>
      <c r="L169" s="235">
        <f t="shared" si="103"/>
        <v>360.5958333333333</v>
      </c>
      <c r="M169" s="235">
        <f t="shared" si="103"/>
        <v>255.40628000000001</v>
      </c>
      <c r="N169" s="235">
        <f t="shared" si="103"/>
        <v>154.76416666666668</v>
      </c>
      <c r="O169" s="235">
        <f t="shared" si="103"/>
        <v>135.71440000000001</v>
      </c>
      <c r="P169" s="235"/>
      <c r="Q169" s="235"/>
      <c r="R169" s="235">
        <v>136.47999999999999</v>
      </c>
      <c r="S169" s="235">
        <f t="shared" si="103"/>
        <v>32.532000000000004</v>
      </c>
      <c r="T169" s="235">
        <f t="shared" si="103"/>
        <v>99.396666666666675</v>
      </c>
      <c r="U169" s="235">
        <f t="shared" si="103"/>
        <v>87.162000000000006</v>
      </c>
      <c r="V169" s="235"/>
      <c r="W169" s="235"/>
      <c r="X169" s="235">
        <f t="shared" si="88"/>
        <v>-19.04976666666667</v>
      </c>
      <c r="Y169" s="236">
        <f t="shared" si="89"/>
        <v>0.87691099899309166</v>
      </c>
      <c r="Z169" s="235">
        <f t="shared" ref="Z169:AG169" si="104">Z170+Z173</f>
        <v>291.25</v>
      </c>
      <c r="AA169" s="235">
        <f t="shared" si="104"/>
        <v>338.21</v>
      </c>
      <c r="AB169" s="235">
        <f t="shared" si="104"/>
        <v>154.77000000000001</v>
      </c>
      <c r="AC169" s="235">
        <f t="shared" si="104"/>
        <v>0</v>
      </c>
      <c r="AD169" s="235">
        <f t="shared" si="104"/>
        <v>37.08</v>
      </c>
      <c r="AE169" s="235">
        <f t="shared" si="104"/>
        <v>0</v>
      </c>
      <c r="AF169" s="235">
        <f t="shared" si="104"/>
        <v>99.4</v>
      </c>
      <c r="AG169" s="235">
        <f t="shared" si="104"/>
        <v>0</v>
      </c>
      <c r="AH169" s="235"/>
      <c r="AI169" s="235"/>
      <c r="AJ169" s="235">
        <f t="shared" si="91"/>
        <v>-154.77000000000001</v>
      </c>
      <c r="AK169" s="237">
        <f t="shared" si="92"/>
        <v>0</v>
      </c>
      <c r="AL169" s="235">
        <f t="shared" ref="AL169:AS169" si="105">AL170+AL173</f>
        <v>291.25</v>
      </c>
      <c r="AM169" s="235">
        <f t="shared" si="105"/>
        <v>338.21</v>
      </c>
      <c r="AN169" s="235">
        <f t="shared" si="105"/>
        <v>154.77000000000001</v>
      </c>
      <c r="AO169" s="235">
        <f t="shared" si="105"/>
        <v>0</v>
      </c>
      <c r="AP169" s="235">
        <f t="shared" si="105"/>
        <v>37.08</v>
      </c>
      <c r="AQ169" s="235">
        <f t="shared" si="105"/>
        <v>0</v>
      </c>
      <c r="AR169" s="235">
        <f t="shared" si="105"/>
        <v>99.4</v>
      </c>
      <c r="AS169" s="235">
        <f t="shared" si="105"/>
        <v>0</v>
      </c>
      <c r="AT169" s="235"/>
      <c r="AU169" s="235"/>
      <c r="AV169" s="235">
        <f t="shared" si="94"/>
        <v>-154.77000000000001</v>
      </c>
      <c r="AW169" s="237">
        <f t="shared" si="95"/>
        <v>0</v>
      </c>
      <c r="AX169" s="101">
        <f>G169/2</f>
        <v>2163.5749999999998</v>
      </c>
      <c r="AY169" s="101">
        <f>SUM(AY170,AY173)</f>
        <v>4327.1499999999996</v>
      </c>
      <c r="AZ169" s="238">
        <f t="shared" ref="AZ169:BE169" si="106">AZ170+AZ173</f>
        <v>0</v>
      </c>
      <c r="BA169" s="239">
        <f>BA170+BA173</f>
        <v>2793.38</v>
      </c>
      <c r="BB169" s="239">
        <f t="shared" si="106"/>
        <v>0</v>
      </c>
      <c r="BC169" s="239">
        <f t="shared" si="106"/>
        <v>1164.0240000000001</v>
      </c>
      <c r="BD169" s="239">
        <f t="shared" si="106"/>
        <v>0</v>
      </c>
      <c r="BE169" s="240">
        <f t="shared" si="106"/>
        <v>71.22</v>
      </c>
      <c r="BF169" s="238">
        <f>BF170+BF173</f>
        <v>367.54055999999997</v>
      </c>
      <c r="BG169" s="239">
        <f>BG170+BG173</f>
        <v>313.81458000000003</v>
      </c>
      <c r="BH169" s="239"/>
      <c r="BI169" s="240"/>
      <c r="BJ169" s="417">
        <f t="shared" ref="BJ169:BJ183" si="107">BA169-AZ169</f>
        <v>2793.38</v>
      </c>
      <c r="BK169" s="545" t="e">
        <f t="shared" si="97"/>
        <v>#DIV/0!</v>
      </c>
      <c r="BL169" s="546"/>
      <c r="BM169" s="238">
        <f>BM170+BM173</f>
        <v>338.21595000000002</v>
      </c>
      <c r="BN169" s="239"/>
      <c r="BO169" s="455"/>
      <c r="BP169" s="547"/>
      <c r="BQ169" s="548"/>
      <c r="BR169" s="549"/>
      <c r="BS169" s="550"/>
      <c r="BT169" s="547"/>
      <c r="BU169" s="548"/>
      <c r="BV169" s="549"/>
      <c r="BW169" s="550"/>
      <c r="BX169" s="551">
        <f>BX170</f>
        <v>2753.37</v>
      </c>
      <c r="BY169" s="552">
        <f t="shared" si="98"/>
        <v>4327.1499999999996</v>
      </c>
      <c r="BZ169" s="553">
        <f>M169+BM169+BQ169+BU169</f>
        <v>593.62223000000006</v>
      </c>
      <c r="CA169" s="548">
        <f t="shared" si="99"/>
        <v>-3733.5277699999997</v>
      </c>
      <c r="CB169" s="554">
        <f t="shared" si="100"/>
        <v>0.13718549853829889</v>
      </c>
      <c r="CC169" s="309">
        <f t="shared" si="86"/>
        <v>-3733.5277699999997</v>
      </c>
      <c r="CD169" s="555">
        <f>CD170+CD173</f>
        <v>72.612229999999997</v>
      </c>
      <c r="CE169" s="556">
        <f>CE170+CE173</f>
        <v>521.01</v>
      </c>
      <c r="CF169" s="557"/>
      <c r="CG169" s="558"/>
      <c r="CH169" s="558"/>
      <c r="CI169" s="558"/>
      <c r="CJ169" s="558"/>
      <c r="CK169" s="558"/>
      <c r="CL169" s="558"/>
      <c r="CM169" s="559"/>
      <c r="CN169" s="559"/>
      <c r="CO169" s="559"/>
      <c r="CP169" s="559"/>
      <c r="CQ169" s="559"/>
      <c r="CR169" s="559"/>
      <c r="CS169" s="559"/>
      <c r="CT169" s="559"/>
      <c r="CU169" s="559"/>
      <c r="CV169" s="559"/>
      <c r="CW169" s="559"/>
      <c r="CX169" s="559"/>
      <c r="CY169" s="559"/>
      <c r="CZ169" s="559"/>
      <c r="DA169" s="101">
        <f>SUM(DA170,DA173)</f>
        <v>4327.1549099999993</v>
      </c>
      <c r="DB169" s="101">
        <f>SUM(DB170,DB173)</f>
        <v>4327.1549099999993</v>
      </c>
      <c r="DC169" s="233">
        <f>SUM(DC170,DC173)</f>
        <v>4327.1499999999996</v>
      </c>
      <c r="DD169" s="233">
        <f>SUM(DD170,DD173)</f>
        <v>4327.1499999999996</v>
      </c>
      <c r="DE169" s="233">
        <f>SUM(DE170,DE173)</f>
        <v>4327.1549099999993</v>
      </c>
    </row>
    <row r="170" spans="1:109">
      <c r="A170" s="177"/>
      <c r="B170" s="187" t="s">
        <v>3</v>
      </c>
      <c r="C170" s="49" t="s">
        <v>54</v>
      </c>
      <c r="D170" s="31">
        <v>3482.88</v>
      </c>
      <c r="E170" s="31">
        <v>3596.97</v>
      </c>
      <c r="F170" s="31">
        <v>3596.97</v>
      </c>
      <c r="G170" s="31">
        <v>3596.97</v>
      </c>
      <c r="H170" s="134">
        <v>1549.42</v>
      </c>
      <c r="I170" s="134">
        <v>1355.76</v>
      </c>
      <c r="J170" s="134">
        <v>371.68</v>
      </c>
      <c r="K170" s="134">
        <v>984.08</v>
      </c>
      <c r="L170" s="134">
        <f>G170/12</f>
        <v>299.7475</v>
      </c>
      <c r="M170" s="134">
        <v>212.30778000000001</v>
      </c>
      <c r="N170" s="134">
        <f>H170/12</f>
        <v>129.11833333333334</v>
      </c>
      <c r="O170" s="134">
        <v>113.22490000000001</v>
      </c>
      <c r="P170" s="134"/>
      <c r="Q170" s="134"/>
      <c r="R170" s="134">
        <v>112.98</v>
      </c>
      <c r="S170" s="134">
        <v>27.175000000000001</v>
      </c>
      <c r="T170" s="134">
        <f>K170/12</f>
        <v>82.006666666666675</v>
      </c>
      <c r="U170" s="134">
        <v>71.909000000000006</v>
      </c>
      <c r="V170" s="134"/>
      <c r="W170" s="134"/>
      <c r="X170" s="134">
        <f t="shared" si="88"/>
        <v>-15.893433333333334</v>
      </c>
      <c r="Y170" s="134">
        <f t="shared" si="89"/>
        <v>0.87690800428547455</v>
      </c>
      <c r="Z170" s="134">
        <v>242.1</v>
      </c>
      <c r="AA170" s="134">
        <v>281.14</v>
      </c>
      <c r="AB170" s="134">
        <v>129.12</v>
      </c>
      <c r="AC170" s="134"/>
      <c r="AD170" s="134">
        <v>30.97</v>
      </c>
      <c r="AE170" s="134"/>
      <c r="AF170" s="134">
        <v>82.01</v>
      </c>
      <c r="AG170" s="134"/>
      <c r="AH170" s="134"/>
      <c r="AI170" s="134"/>
      <c r="AJ170" s="134">
        <f t="shared" si="91"/>
        <v>-129.12</v>
      </c>
      <c r="AK170" s="241">
        <f t="shared" si="92"/>
        <v>0</v>
      </c>
      <c r="AL170" s="134">
        <v>242.1</v>
      </c>
      <c r="AM170" s="134">
        <v>281.14</v>
      </c>
      <c r="AN170" s="134">
        <v>129.12</v>
      </c>
      <c r="AO170" s="134"/>
      <c r="AP170" s="134">
        <v>30.97</v>
      </c>
      <c r="AQ170" s="134"/>
      <c r="AR170" s="134">
        <v>82.01</v>
      </c>
      <c r="AS170" s="134"/>
      <c r="AT170" s="134"/>
      <c r="AU170" s="134"/>
      <c r="AV170" s="134">
        <f t="shared" si="94"/>
        <v>-129.12</v>
      </c>
      <c r="AW170" s="241">
        <f t="shared" si="95"/>
        <v>0</v>
      </c>
      <c r="AX170" s="31">
        <f>G170/2</f>
        <v>1798.4849999999999</v>
      </c>
      <c r="AY170" s="31">
        <v>3596.97</v>
      </c>
      <c r="AZ170" s="109"/>
      <c r="BA170" s="62">
        <v>2319.33</v>
      </c>
      <c r="BB170" s="62"/>
      <c r="BC170" s="62">
        <v>967.60400000000004</v>
      </c>
      <c r="BD170" s="62"/>
      <c r="BE170" s="110">
        <v>59.2</v>
      </c>
      <c r="BF170" s="109">
        <v>305.52</v>
      </c>
      <c r="BG170" s="62">
        <v>260.86</v>
      </c>
      <c r="BH170" s="62"/>
      <c r="BI170" s="110"/>
      <c r="BJ170" s="426">
        <f t="shared" si="107"/>
        <v>2319.33</v>
      </c>
      <c r="BK170" s="427" t="e">
        <f t="shared" si="97"/>
        <v>#DIV/0!</v>
      </c>
      <c r="BL170" s="560"/>
      <c r="BM170" s="109">
        <v>281.14377000000002</v>
      </c>
      <c r="BN170" s="62"/>
      <c r="BO170" s="470"/>
      <c r="BP170" s="64"/>
      <c r="BQ170" s="61"/>
      <c r="BR170" s="479"/>
      <c r="BS170" s="66"/>
      <c r="BT170" s="64"/>
      <c r="BU170" s="61"/>
      <c r="BV170" s="479"/>
      <c r="BW170" s="66"/>
      <c r="BX170" s="431">
        <v>2753.37</v>
      </c>
      <c r="BY170" s="68">
        <f t="shared" si="98"/>
        <v>3596.97</v>
      </c>
      <c r="BZ170" s="69">
        <f>M170+BM170+BQ170+BU170</f>
        <v>493.45155</v>
      </c>
      <c r="CA170" s="61">
        <f t="shared" si="99"/>
        <v>-3103.5184499999996</v>
      </c>
      <c r="CB170" s="71">
        <f t="shared" si="100"/>
        <v>0.13718533932726712</v>
      </c>
      <c r="CC170" s="72">
        <f t="shared" si="86"/>
        <v>-3103.5184499999996</v>
      </c>
      <c r="CD170" s="434">
        <f>BZ170-CE170</f>
        <v>59.951549999999997</v>
      </c>
      <c r="CE170" s="561">
        <v>433.5</v>
      </c>
      <c r="CF170" s="73"/>
      <c r="CG170" s="74"/>
      <c r="CH170" s="74"/>
      <c r="CI170" s="74"/>
      <c r="CJ170" s="74"/>
      <c r="CK170" s="74"/>
      <c r="CL170" s="74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31">
        <v>3596.97</v>
      </c>
      <c r="DB170" s="31">
        <v>3596.97</v>
      </c>
      <c r="DC170" s="31">
        <v>3596.97</v>
      </c>
      <c r="DD170" s="31">
        <v>3596.97</v>
      </c>
      <c r="DE170" s="31">
        <v>3596.97</v>
      </c>
    </row>
    <row r="171" spans="1:109">
      <c r="A171" s="177"/>
      <c r="B171" s="212" t="s">
        <v>38</v>
      </c>
      <c r="C171" s="213" t="s">
        <v>82</v>
      </c>
      <c r="D171" s="105">
        <v>9.5</v>
      </c>
      <c r="E171" s="105">
        <v>9.5</v>
      </c>
      <c r="F171" s="105">
        <v>9.5</v>
      </c>
      <c r="G171" s="105">
        <v>9.5</v>
      </c>
      <c r="H171" s="242">
        <v>4</v>
      </c>
      <c r="I171" s="242">
        <v>4</v>
      </c>
      <c r="J171" s="242">
        <v>1</v>
      </c>
      <c r="K171" s="242">
        <v>3</v>
      </c>
      <c r="L171" s="242">
        <v>8</v>
      </c>
      <c r="M171" s="243">
        <v>6</v>
      </c>
      <c r="N171" s="134">
        <v>4</v>
      </c>
      <c r="O171" s="134">
        <v>3</v>
      </c>
      <c r="P171" s="134"/>
      <c r="Q171" s="134"/>
      <c r="R171" s="134">
        <v>1</v>
      </c>
      <c r="S171" s="134">
        <v>1</v>
      </c>
      <c r="T171" s="134">
        <v>3</v>
      </c>
      <c r="U171" s="134">
        <v>3</v>
      </c>
      <c r="V171" s="134"/>
      <c r="W171" s="134"/>
      <c r="X171" s="134">
        <f t="shared" si="88"/>
        <v>-1</v>
      </c>
      <c r="Y171" s="155">
        <f t="shared" si="89"/>
        <v>0.75</v>
      </c>
      <c r="Z171" s="242">
        <v>8</v>
      </c>
      <c r="AA171" s="243">
        <v>7</v>
      </c>
      <c r="AB171" s="134">
        <v>4</v>
      </c>
      <c r="AC171" s="134"/>
      <c r="AD171" s="134">
        <v>1</v>
      </c>
      <c r="AE171" s="134"/>
      <c r="AF171" s="134">
        <v>3</v>
      </c>
      <c r="AG171" s="134"/>
      <c r="AH171" s="134"/>
      <c r="AI171" s="134"/>
      <c r="AJ171" s="134">
        <f t="shared" si="91"/>
        <v>-4</v>
      </c>
      <c r="AK171" s="156">
        <f t="shared" si="92"/>
        <v>0</v>
      </c>
      <c r="AL171" s="242">
        <v>8</v>
      </c>
      <c r="AM171" s="243">
        <v>7</v>
      </c>
      <c r="AN171" s="134">
        <v>4</v>
      </c>
      <c r="AO171" s="134"/>
      <c r="AP171" s="134">
        <v>1</v>
      </c>
      <c r="AQ171" s="134"/>
      <c r="AR171" s="134">
        <v>3</v>
      </c>
      <c r="AS171" s="134"/>
      <c r="AT171" s="134"/>
      <c r="AU171" s="134"/>
      <c r="AV171" s="134">
        <f t="shared" si="94"/>
        <v>-4</v>
      </c>
      <c r="AW171" s="156">
        <f t="shared" si="95"/>
        <v>0</v>
      </c>
      <c r="AX171" s="31">
        <v>8</v>
      </c>
      <c r="AY171" s="244">
        <v>9</v>
      </c>
      <c r="AZ171" s="109"/>
      <c r="BA171" s="62"/>
      <c r="BB171" s="62"/>
      <c r="BC171" s="62"/>
      <c r="BD171" s="62"/>
      <c r="BE171" s="110"/>
      <c r="BF171" s="109"/>
      <c r="BG171" s="62"/>
      <c r="BH171" s="62" t="s">
        <v>189</v>
      </c>
      <c r="BI171" s="110"/>
      <c r="BJ171" s="426">
        <f t="shared" si="107"/>
        <v>0</v>
      </c>
      <c r="BK171" s="427" t="e">
        <f t="shared" si="97"/>
        <v>#DIV/0!</v>
      </c>
      <c r="BL171" s="560"/>
      <c r="BM171" s="109"/>
      <c r="BN171" s="62"/>
      <c r="BO171" s="470"/>
      <c r="BP171" s="64"/>
      <c r="BQ171" s="61"/>
      <c r="BR171" s="521"/>
      <c r="BS171" s="66"/>
      <c r="BT171" s="64"/>
      <c r="BU171" s="61"/>
      <c r="BV171" s="479"/>
      <c r="BW171" s="66"/>
      <c r="BX171" s="522">
        <v>7</v>
      </c>
      <c r="BY171" s="68">
        <f t="shared" si="98"/>
        <v>9.5</v>
      </c>
      <c r="BZ171" s="69">
        <f>(M171+BM171+BQ171+BU171)/4</f>
        <v>1.5</v>
      </c>
      <c r="CA171" s="61">
        <f t="shared" si="99"/>
        <v>-8</v>
      </c>
      <c r="CB171" s="71">
        <f t="shared" si="100"/>
        <v>0.15789473684210525</v>
      </c>
      <c r="CC171" s="72">
        <f t="shared" si="86"/>
        <v>-8</v>
      </c>
      <c r="CD171" s="562">
        <v>5</v>
      </c>
      <c r="CE171" s="561">
        <v>1.5</v>
      </c>
      <c r="CF171" s="73"/>
      <c r="CG171" s="525"/>
      <c r="CH171" s="525"/>
      <c r="CI171" s="525"/>
      <c r="CJ171" s="525"/>
      <c r="CK171" s="525"/>
      <c r="CL171" s="525"/>
      <c r="CM171" s="526"/>
      <c r="CN171" s="526"/>
      <c r="CO171" s="526"/>
      <c r="CP171" s="526"/>
      <c r="CQ171" s="526"/>
      <c r="CR171" s="526"/>
      <c r="CS171" s="526"/>
      <c r="CT171" s="526"/>
      <c r="CU171" s="526"/>
      <c r="CV171" s="526"/>
      <c r="CW171" s="526"/>
      <c r="CX171" s="526"/>
      <c r="CY171" s="526"/>
      <c r="CZ171" s="526"/>
      <c r="DA171" s="244">
        <v>9.5</v>
      </c>
      <c r="DB171" s="244">
        <v>9.5</v>
      </c>
      <c r="DC171" s="105">
        <v>9.5</v>
      </c>
      <c r="DD171" s="105">
        <v>9.5</v>
      </c>
      <c r="DE171" s="105">
        <v>9.5</v>
      </c>
    </row>
    <row r="172" spans="1:109">
      <c r="A172" s="177"/>
      <c r="B172" s="212" t="s">
        <v>39</v>
      </c>
      <c r="C172" s="213" t="s">
        <v>83</v>
      </c>
      <c r="D172" s="31">
        <f t="shared" ref="D172:K172" si="108">D170/D171/12*1000</f>
        <v>30551.578947368424</v>
      </c>
      <c r="E172" s="31">
        <f t="shared" si="108"/>
        <v>31552.36842105263</v>
      </c>
      <c r="F172" s="31">
        <f t="shared" si="108"/>
        <v>31552.36842105263</v>
      </c>
      <c r="G172" s="31">
        <f t="shared" si="108"/>
        <v>31552.36842105263</v>
      </c>
      <c r="H172" s="134">
        <f t="shared" si="108"/>
        <v>32279.583333333336</v>
      </c>
      <c r="I172" s="134">
        <f t="shared" si="108"/>
        <v>28245</v>
      </c>
      <c r="J172" s="134">
        <f t="shared" si="108"/>
        <v>30973.333333333332</v>
      </c>
      <c r="K172" s="134">
        <f t="shared" si="108"/>
        <v>27335.555555555558</v>
      </c>
      <c r="L172" s="134">
        <f t="shared" ref="L172:U172" si="109">L170/L171*1000</f>
        <v>37468.4375</v>
      </c>
      <c r="M172" s="134">
        <f t="shared" si="109"/>
        <v>35384.630000000005</v>
      </c>
      <c r="N172" s="134">
        <f t="shared" si="109"/>
        <v>32279.583333333336</v>
      </c>
      <c r="O172" s="134">
        <f t="shared" si="109"/>
        <v>37741.633333333331</v>
      </c>
      <c r="P172" s="134"/>
      <c r="Q172" s="134"/>
      <c r="R172" s="134">
        <f t="shared" si="109"/>
        <v>112980</v>
      </c>
      <c r="S172" s="134">
        <f t="shared" si="109"/>
        <v>27175</v>
      </c>
      <c r="T172" s="134">
        <f t="shared" si="109"/>
        <v>27335.555555555558</v>
      </c>
      <c r="U172" s="134">
        <f t="shared" si="109"/>
        <v>23969.666666666668</v>
      </c>
      <c r="V172" s="134"/>
      <c r="W172" s="134"/>
      <c r="X172" s="134">
        <f t="shared" si="88"/>
        <v>5462.0499999999956</v>
      </c>
      <c r="Y172" s="155">
        <f t="shared" si="89"/>
        <v>1.1692106723806326</v>
      </c>
      <c r="Z172" s="134">
        <f t="shared" ref="Z172:AG172" si="110">Z170/Z171*1000</f>
        <v>30262.5</v>
      </c>
      <c r="AA172" s="134">
        <f t="shared" si="110"/>
        <v>40162.857142857145</v>
      </c>
      <c r="AB172" s="134">
        <f t="shared" si="110"/>
        <v>32280</v>
      </c>
      <c r="AC172" s="134" t="e">
        <f t="shared" si="110"/>
        <v>#DIV/0!</v>
      </c>
      <c r="AD172" s="134">
        <f t="shared" si="110"/>
        <v>30970</v>
      </c>
      <c r="AE172" s="134" t="e">
        <f t="shared" si="110"/>
        <v>#DIV/0!</v>
      </c>
      <c r="AF172" s="134">
        <f t="shared" si="110"/>
        <v>27336.666666666668</v>
      </c>
      <c r="AG172" s="134" t="e">
        <f t="shared" si="110"/>
        <v>#DIV/0!</v>
      </c>
      <c r="AH172" s="134"/>
      <c r="AI172" s="134"/>
      <c r="AJ172" s="134" t="e">
        <f t="shared" si="91"/>
        <v>#DIV/0!</v>
      </c>
      <c r="AK172" s="156" t="e">
        <f t="shared" si="92"/>
        <v>#DIV/0!</v>
      </c>
      <c r="AL172" s="134">
        <f t="shared" ref="AL172:AS172" si="111">AL170/AL171*1000</f>
        <v>30262.5</v>
      </c>
      <c r="AM172" s="134">
        <f t="shared" si="111"/>
        <v>40162.857142857145</v>
      </c>
      <c r="AN172" s="134">
        <f t="shared" si="111"/>
        <v>32280</v>
      </c>
      <c r="AO172" s="134" t="e">
        <f t="shared" si="111"/>
        <v>#DIV/0!</v>
      </c>
      <c r="AP172" s="134">
        <f t="shared" si="111"/>
        <v>30970</v>
      </c>
      <c r="AQ172" s="134" t="e">
        <f t="shared" si="111"/>
        <v>#DIV/0!</v>
      </c>
      <c r="AR172" s="134">
        <f t="shared" si="111"/>
        <v>27336.666666666668</v>
      </c>
      <c r="AS172" s="134" t="e">
        <f t="shared" si="111"/>
        <v>#DIV/0!</v>
      </c>
      <c r="AT172" s="134"/>
      <c r="AU172" s="134"/>
      <c r="AV172" s="134" t="e">
        <f t="shared" si="94"/>
        <v>#DIV/0!</v>
      </c>
      <c r="AW172" s="156" t="e">
        <f t="shared" si="95"/>
        <v>#DIV/0!</v>
      </c>
      <c r="AX172" s="31">
        <f>AX170/AX171/6*1000</f>
        <v>37468.4375</v>
      </c>
      <c r="AY172" s="31">
        <f>AY170/AY171/12*1000</f>
        <v>33305.277777777774</v>
      </c>
      <c r="AZ172" s="109" t="e">
        <f>AZ170/AZ171/3*1000</f>
        <v>#DIV/0!</v>
      </c>
      <c r="BA172" s="62"/>
      <c r="BB172" s="62"/>
      <c r="BC172" s="62"/>
      <c r="BD172" s="62"/>
      <c r="BE172" s="110"/>
      <c r="BF172" s="109"/>
      <c r="BG172" s="62"/>
      <c r="BH172" s="62"/>
      <c r="BI172" s="110"/>
      <c r="BJ172" s="426" t="e">
        <f t="shared" si="107"/>
        <v>#DIV/0!</v>
      </c>
      <c r="BK172" s="427" t="e">
        <f t="shared" si="97"/>
        <v>#DIV/0!</v>
      </c>
      <c r="BL172" s="560"/>
      <c r="BM172" s="109"/>
      <c r="BN172" s="62"/>
      <c r="BO172" s="470"/>
      <c r="BP172" s="64"/>
      <c r="BQ172" s="61"/>
      <c r="BR172" s="521"/>
      <c r="BS172" s="66"/>
      <c r="BT172" s="64"/>
      <c r="BU172" s="61"/>
      <c r="BV172" s="479"/>
      <c r="BW172" s="66"/>
      <c r="BX172" s="522"/>
      <c r="BY172" s="68"/>
      <c r="BZ172" s="69"/>
      <c r="CA172" s="61"/>
      <c r="CB172" s="71"/>
      <c r="CC172" s="72"/>
      <c r="CD172" s="562"/>
      <c r="CE172" s="561"/>
      <c r="CF172" s="73"/>
      <c r="CG172" s="525"/>
      <c r="CH172" s="525"/>
      <c r="CI172" s="525"/>
      <c r="CJ172" s="525"/>
      <c r="CK172" s="525"/>
      <c r="CL172" s="525"/>
      <c r="CM172" s="526"/>
      <c r="CN172" s="526"/>
      <c r="CO172" s="526"/>
      <c r="CP172" s="526"/>
      <c r="CQ172" s="526"/>
      <c r="CR172" s="526"/>
      <c r="CS172" s="526"/>
      <c r="CT172" s="526"/>
      <c r="CU172" s="526"/>
      <c r="CV172" s="526"/>
      <c r="CW172" s="526"/>
      <c r="CX172" s="526"/>
      <c r="CY172" s="526"/>
      <c r="CZ172" s="526"/>
      <c r="DA172" s="31">
        <f>DA170/DA171/12*1000</f>
        <v>31552.36842105263</v>
      </c>
      <c r="DB172" s="31">
        <f>DB170/DB171/12*1000</f>
        <v>31552.36842105263</v>
      </c>
      <c r="DC172" s="31">
        <f>DC170/DC171/12*1000</f>
        <v>31552.36842105263</v>
      </c>
      <c r="DD172" s="31">
        <f>DD170/DD171/12*1000</f>
        <v>31552.36842105263</v>
      </c>
      <c r="DE172" s="31">
        <f>DE170/DE171/12*1000</f>
        <v>31552.36842105263</v>
      </c>
    </row>
    <row r="173" spans="1:109" ht="12" customHeight="1">
      <c r="A173" s="177"/>
      <c r="B173" s="187" t="s">
        <v>92</v>
      </c>
      <c r="C173" s="49" t="s">
        <v>54</v>
      </c>
      <c r="D173" s="105">
        <v>707.02</v>
      </c>
      <c r="E173" s="105">
        <v>730.18</v>
      </c>
      <c r="F173" s="105">
        <v>730.18</v>
      </c>
      <c r="G173" s="105">
        <v>730.18</v>
      </c>
      <c r="H173" s="242">
        <v>307.75</v>
      </c>
      <c r="I173" s="134">
        <v>282</v>
      </c>
      <c r="J173" s="242">
        <v>73.319999999999993</v>
      </c>
      <c r="K173" s="242">
        <v>208.68</v>
      </c>
      <c r="L173" s="134">
        <f>G173/12</f>
        <v>60.848333333333329</v>
      </c>
      <c r="M173" s="134">
        <v>43.098500000000001</v>
      </c>
      <c r="N173" s="134">
        <f>H173/12</f>
        <v>25.645833333333332</v>
      </c>
      <c r="O173" s="134">
        <v>22.4895</v>
      </c>
      <c r="P173" s="134"/>
      <c r="Q173" s="134"/>
      <c r="R173" s="134">
        <f>J173/12</f>
        <v>6.1099999999999994</v>
      </c>
      <c r="S173" s="134">
        <v>5.3570000000000002</v>
      </c>
      <c r="T173" s="134">
        <f>K173/12</f>
        <v>17.39</v>
      </c>
      <c r="U173" s="134">
        <v>15.253</v>
      </c>
      <c r="V173" s="134"/>
      <c r="W173" s="134"/>
      <c r="X173" s="134">
        <f t="shared" si="88"/>
        <v>-3.1563333333333325</v>
      </c>
      <c r="Y173" s="155">
        <f t="shared" si="89"/>
        <v>0.87692607636068243</v>
      </c>
      <c r="Z173" s="134">
        <v>49.15</v>
      </c>
      <c r="AA173" s="134">
        <v>57.07</v>
      </c>
      <c r="AB173" s="134">
        <v>25.65</v>
      </c>
      <c r="AC173" s="134"/>
      <c r="AD173" s="134">
        <v>6.11</v>
      </c>
      <c r="AE173" s="134"/>
      <c r="AF173" s="134">
        <v>17.39</v>
      </c>
      <c r="AG173" s="134"/>
      <c r="AH173" s="134"/>
      <c r="AI173" s="134"/>
      <c r="AJ173" s="134">
        <f t="shared" si="91"/>
        <v>-25.65</v>
      </c>
      <c r="AK173" s="156">
        <f t="shared" si="92"/>
        <v>0</v>
      </c>
      <c r="AL173" s="134">
        <v>49.15</v>
      </c>
      <c r="AM173" s="134">
        <v>57.07</v>
      </c>
      <c r="AN173" s="134">
        <v>25.65</v>
      </c>
      <c r="AO173" s="134"/>
      <c r="AP173" s="134">
        <v>6.11</v>
      </c>
      <c r="AQ173" s="134"/>
      <c r="AR173" s="134">
        <v>17.39</v>
      </c>
      <c r="AS173" s="134"/>
      <c r="AT173" s="134"/>
      <c r="AU173" s="134"/>
      <c r="AV173" s="134">
        <f t="shared" si="94"/>
        <v>-25.65</v>
      </c>
      <c r="AW173" s="156">
        <f t="shared" si="95"/>
        <v>0</v>
      </c>
      <c r="AX173" s="31">
        <f>G173/2</f>
        <v>365.09</v>
      </c>
      <c r="AY173" s="31">
        <v>730.18</v>
      </c>
      <c r="AZ173" s="109"/>
      <c r="BA173" s="62">
        <v>474.05</v>
      </c>
      <c r="BB173" s="62">
        <f t="shared" ref="BB173:BG173" si="112">BB170*20.3/100</f>
        <v>0</v>
      </c>
      <c r="BC173" s="62">
        <v>196.42</v>
      </c>
      <c r="BD173" s="62">
        <f t="shared" si="112"/>
        <v>0</v>
      </c>
      <c r="BE173" s="110">
        <v>12.02</v>
      </c>
      <c r="BF173" s="109">
        <f t="shared" si="112"/>
        <v>62.020559999999996</v>
      </c>
      <c r="BG173" s="62">
        <f t="shared" si="112"/>
        <v>52.954580000000007</v>
      </c>
      <c r="BH173" s="62"/>
      <c r="BI173" s="110"/>
      <c r="BJ173" s="426">
        <f t="shared" si="107"/>
        <v>474.05</v>
      </c>
      <c r="BK173" s="427" t="e">
        <f t="shared" si="97"/>
        <v>#DIV/0!</v>
      </c>
      <c r="BL173" s="560"/>
      <c r="BM173" s="109">
        <v>57.072180000000003</v>
      </c>
      <c r="BN173" s="62"/>
      <c r="BO173" s="470"/>
      <c r="BP173" s="64"/>
      <c r="BQ173" s="61"/>
      <c r="BR173" s="479"/>
      <c r="BS173" s="66"/>
      <c r="BT173" s="64"/>
      <c r="BU173" s="61"/>
      <c r="BV173" s="479"/>
      <c r="BW173" s="66"/>
      <c r="BX173" s="431"/>
      <c r="BY173" s="68">
        <f t="shared" si="98"/>
        <v>730.18</v>
      </c>
      <c r="BZ173" s="69">
        <f t="shared" ref="BZ173:BZ182" si="113">M173+BM173+BQ173+BU173</f>
        <v>100.17068</v>
      </c>
      <c r="CA173" s="61">
        <f t="shared" si="99"/>
        <v>-630.00931999999989</v>
      </c>
      <c r="CB173" s="71">
        <f t="shared" si="100"/>
        <v>0.13718628283436962</v>
      </c>
      <c r="CC173" s="72">
        <f t="shared" ref="CC173:CC182" si="114">BZ173-E173</f>
        <v>-630.00931999999989</v>
      </c>
      <c r="CD173" s="434">
        <f>BZ173-CE173</f>
        <v>12.660679999999999</v>
      </c>
      <c r="CE173" s="561">
        <v>87.51</v>
      </c>
      <c r="CF173" s="73"/>
      <c r="CG173" s="74"/>
      <c r="CH173" s="74"/>
      <c r="CI173" s="74"/>
      <c r="CJ173" s="74"/>
      <c r="CK173" s="74"/>
      <c r="CL173" s="74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31">
        <f>DA170*20.3/100</f>
        <v>730.18490999999995</v>
      </c>
      <c r="DB173" s="31">
        <f>DB170*20.3/100</f>
        <v>730.18490999999995</v>
      </c>
      <c r="DC173" s="105">
        <v>730.18</v>
      </c>
      <c r="DD173" s="105">
        <v>730.18</v>
      </c>
      <c r="DE173" s="31">
        <f>DE170*20.3/100</f>
        <v>730.18490999999995</v>
      </c>
    </row>
    <row r="174" spans="1:109" hidden="1">
      <c r="A174" s="232" t="s">
        <v>268</v>
      </c>
      <c r="B174" s="166" t="s">
        <v>28</v>
      </c>
      <c r="C174" s="266" t="s">
        <v>54</v>
      </c>
      <c r="D174" s="108">
        <f>SUM(D175:D177)</f>
        <v>24</v>
      </c>
      <c r="E174" s="108">
        <f>SUM(E175:E177)</f>
        <v>6</v>
      </c>
      <c r="F174" s="108">
        <f>SUM(F175:F177)</f>
        <v>24</v>
      </c>
      <c r="G174" s="108">
        <f>SUM(G175:G177)</f>
        <v>24</v>
      </c>
      <c r="H174" s="234" t="e">
        <f>H177+#REF!</f>
        <v>#REF!</v>
      </c>
      <c r="I174" s="234" t="e">
        <f>I177+#REF!</f>
        <v>#REF!</v>
      </c>
      <c r="J174" s="234" t="e">
        <f>J177+#REF!</f>
        <v>#REF!</v>
      </c>
      <c r="K174" s="234" t="e">
        <f>K177+#REF!</f>
        <v>#REF!</v>
      </c>
      <c r="L174" s="235" t="e">
        <f>L177+#REF!</f>
        <v>#REF!</v>
      </c>
      <c r="M174" s="235" t="e">
        <f>M177+#REF!</f>
        <v>#REF!</v>
      </c>
      <c r="N174" s="235" t="e">
        <f>N177+#REF!</f>
        <v>#REF!</v>
      </c>
      <c r="O174" s="235" t="e">
        <f>O177+#REF!</f>
        <v>#REF!</v>
      </c>
      <c r="P174" s="235"/>
      <c r="Q174" s="235"/>
      <c r="R174" s="235">
        <v>136.47999999999999</v>
      </c>
      <c r="S174" s="235" t="e">
        <f>S177+#REF!</f>
        <v>#REF!</v>
      </c>
      <c r="T174" s="235" t="e">
        <f>T177+#REF!</f>
        <v>#REF!</v>
      </c>
      <c r="U174" s="235" t="e">
        <f>U177+#REF!</f>
        <v>#REF!</v>
      </c>
      <c r="V174" s="235"/>
      <c r="W174" s="235"/>
      <c r="X174" s="235" t="e">
        <f>O174-N174</f>
        <v>#REF!</v>
      </c>
      <c r="Y174" s="236" t="e">
        <f>O174/N174</f>
        <v>#REF!</v>
      </c>
      <c r="Z174" s="235" t="e">
        <f>Z177+#REF!</f>
        <v>#REF!</v>
      </c>
      <c r="AA174" s="235" t="e">
        <f>AA177+#REF!</f>
        <v>#REF!</v>
      </c>
      <c r="AB174" s="235" t="e">
        <f>AB177+#REF!</f>
        <v>#REF!</v>
      </c>
      <c r="AC174" s="235" t="e">
        <f>AC177+#REF!</f>
        <v>#REF!</v>
      </c>
      <c r="AD174" s="235" t="e">
        <f>AD177+#REF!</f>
        <v>#REF!</v>
      </c>
      <c r="AE174" s="235" t="e">
        <f>AE177+#REF!</f>
        <v>#REF!</v>
      </c>
      <c r="AF174" s="235" t="e">
        <f>AF177+#REF!</f>
        <v>#REF!</v>
      </c>
      <c r="AG174" s="235" t="e">
        <f>AG177+#REF!</f>
        <v>#REF!</v>
      </c>
      <c r="AH174" s="235"/>
      <c r="AI174" s="235"/>
      <c r="AJ174" s="235" t="e">
        <f>AC174-AB174</f>
        <v>#REF!</v>
      </c>
      <c r="AK174" s="237" t="e">
        <f>AC174/AB174</f>
        <v>#REF!</v>
      </c>
      <c r="AL174" s="235" t="e">
        <f>AL177+#REF!</f>
        <v>#REF!</v>
      </c>
      <c r="AM174" s="235" t="e">
        <f>AM177+#REF!</f>
        <v>#REF!</v>
      </c>
      <c r="AN174" s="235" t="e">
        <f>AN177+#REF!</f>
        <v>#REF!</v>
      </c>
      <c r="AO174" s="235" t="e">
        <f>AO177+#REF!</f>
        <v>#REF!</v>
      </c>
      <c r="AP174" s="235" t="e">
        <f>AP177+#REF!</f>
        <v>#REF!</v>
      </c>
      <c r="AQ174" s="235" t="e">
        <f>AQ177+#REF!</f>
        <v>#REF!</v>
      </c>
      <c r="AR174" s="235" t="e">
        <f>AR177+#REF!</f>
        <v>#REF!</v>
      </c>
      <c r="AS174" s="235" t="e">
        <f>AS177+#REF!</f>
        <v>#REF!</v>
      </c>
      <c r="AT174" s="235"/>
      <c r="AU174" s="235"/>
      <c r="AV174" s="235" t="e">
        <f>AO174-AN174</f>
        <v>#REF!</v>
      </c>
      <c r="AW174" s="237" t="e">
        <f>AO174/AN174</f>
        <v>#REF!</v>
      </c>
      <c r="AX174" s="101">
        <f>G174/2</f>
        <v>12</v>
      </c>
      <c r="AY174" s="101">
        <f>SUM(AY175:AY177)</f>
        <v>5.4809999999900008</v>
      </c>
      <c r="AZ174" s="238" t="e">
        <f>AZ177+#REF!</f>
        <v>#REF!</v>
      </c>
      <c r="BA174" s="239">
        <f>SUM(BA175:BA177)</f>
        <v>3.88</v>
      </c>
      <c r="BB174" s="239">
        <f t="shared" ref="BB174:BG174" si="115">SUM(BB177)</f>
        <v>0</v>
      </c>
      <c r="BC174" s="239">
        <f>SUM(BC175:BC177)</f>
        <v>1.36099999999</v>
      </c>
      <c r="BD174" s="239">
        <f t="shared" si="115"/>
        <v>0</v>
      </c>
      <c r="BE174" s="240">
        <f>SUM(BE175:BE177)</f>
        <v>0.24</v>
      </c>
      <c r="BF174" s="238">
        <f>SUM(BF175:BF177)</f>
        <v>0.06</v>
      </c>
      <c r="BG174" s="239">
        <f t="shared" si="115"/>
        <v>0</v>
      </c>
      <c r="BH174" s="239"/>
      <c r="BI174" s="240"/>
      <c r="BJ174" s="417" t="e">
        <f t="shared" si="107"/>
        <v>#REF!</v>
      </c>
      <c r="BK174" s="545" t="e">
        <f>BA174/AZ174</f>
        <v>#REF!</v>
      </c>
      <c r="BL174" s="546"/>
      <c r="BM174" s="238" t="e">
        <f>BM177+#REF!</f>
        <v>#REF!</v>
      </c>
      <c r="BN174" s="239"/>
      <c r="BO174" s="455"/>
      <c r="BP174" s="547"/>
      <c r="BQ174" s="548"/>
      <c r="BR174" s="549"/>
      <c r="BS174" s="550"/>
      <c r="BT174" s="547"/>
      <c r="BU174" s="548"/>
      <c r="BV174" s="549"/>
      <c r="BW174" s="550"/>
      <c r="BX174" s="551">
        <f>BX177</f>
        <v>0</v>
      </c>
      <c r="BY174" s="552">
        <f>F174</f>
        <v>24</v>
      </c>
      <c r="BZ174" s="553" t="e">
        <f t="shared" si="113"/>
        <v>#REF!</v>
      </c>
      <c r="CA174" s="548" t="e">
        <f>BZ174-BY174</f>
        <v>#REF!</v>
      </c>
      <c r="CB174" s="554" t="e">
        <f>BZ174/BY174</f>
        <v>#REF!</v>
      </c>
      <c r="CC174" s="309" t="e">
        <f t="shared" si="114"/>
        <v>#REF!</v>
      </c>
      <c r="CD174" s="555" t="e">
        <f>CD177+#REF!</f>
        <v>#REF!</v>
      </c>
      <c r="CE174" s="556" t="e">
        <f>CE177+#REF!</f>
        <v>#REF!</v>
      </c>
      <c r="CF174" s="557"/>
      <c r="CG174" s="558"/>
      <c r="CH174" s="558"/>
      <c r="CI174" s="558"/>
      <c r="CJ174" s="558"/>
      <c r="CK174" s="558"/>
      <c r="CL174" s="558"/>
      <c r="CM174" s="559"/>
      <c r="CN174" s="559"/>
      <c r="CO174" s="559"/>
      <c r="CP174" s="559"/>
      <c r="CQ174" s="559"/>
      <c r="CR174" s="559"/>
      <c r="CS174" s="559"/>
      <c r="CT174" s="559"/>
      <c r="CU174" s="559"/>
      <c r="CV174" s="559"/>
      <c r="CW174" s="559"/>
      <c r="CX174" s="559"/>
      <c r="CY174" s="559"/>
      <c r="CZ174" s="559"/>
      <c r="DA174" s="101"/>
      <c r="DB174" s="101"/>
      <c r="DC174" s="108"/>
      <c r="DD174" s="108"/>
      <c r="DE174" s="108"/>
    </row>
    <row r="175" spans="1:109" hidden="1">
      <c r="A175" s="177"/>
      <c r="B175" s="187" t="s">
        <v>29</v>
      </c>
      <c r="C175" s="49" t="s">
        <v>54</v>
      </c>
      <c r="D175" s="31">
        <v>6</v>
      </c>
      <c r="E175" s="31">
        <v>2.5</v>
      </c>
      <c r="F175" s="31">
        <v>6</v>
      </c>
      <c r="G175" s="31">
        <v>6</v>
      </c>
      <c r="H175" s="134"/>
      <c r="I175" s="134"/>
      <c r="J175" s="134"/>
      <c r="K175" s="134"/>
      <c r="L175" s="242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55"/>
      <c r="Z175" s="242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56"/>
      <c r="AL175" s="242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56"/>
      <c r="AX175" s="31"/>
      <c r="AY175" s="31">
        <f>SUM(BA175,BC175,BE175)</f>
        <v>2.2509000000000001</v>
      </c>
      <c r="AZ175" s="109"/>
      <c r="BA175" s="62">
        <v>1.42</v>
      </c>
      <c r="BB175" s="62"/>
      <c r="BC175" s="62">
        <v>0.71089999999999998</v>
      </c>
      <c r="BD175" s="62"/>
      <c r="BE175" s="110">
        <v>0.12</v>
      </c>
      <c r="BF175" s="109"/>
      <c r="BG175" s="62"/>
      <c r="BH175" s="62"/>
      <c r="BI175" s="110"/>
      <c r="BJ175" s="426">
        <f>BA175-AZ175</f>
        <v>1.42</v>
      </c>
      <c r="BK175" s="427"/>
      <c r="BL175" s="560"/>
      <c r="BM175" s="109"/>
      <c r="BN175" s="62"/>
      <c r="BO175" s="470"/>
      <c r="BP175" s="64"/>
      <c r="BQ175" s="61"/>
      <c r="BR175" s="479"/>
      <c r="BS175" s="66"/>
      <c r="BT175" s="64"/>
      <c r="BU175" s="61"/>
      <c r="BV175" s="65"/>
      <c r="BW175" s="66"/>
      <c r="BX175" s="431"/>
      <c r="BY175" s="68"/>
      <c r="BZ175" s="69">
        <f>M175+BM175+BQ175+BU175</f>
        <v>0</v>
      </c>
      <c r="CA175" s="70"/>
      <c r="CB175" s="71"/>
      <c r="CC175" s="72">
        <f>BZ175-E175</f>
        <v>-2.5</v>
      </c>
      <c r="CD175" s="562">
        <v>70.2</v>
      </c>
      <c r="CE175" s="561"/>
      <c r="CF175" s="73"/>
      <c r="CG175" s="74"/>
      <c r="CH175" s="74"/>
      <c r="CI175" s="74"/>
      <c r="CJ175" s="74"/>
      <c r="CK175" s="74"/>
      <c r="CL175" s="74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31">
        <v>2.5</v>
      </c>
      <c r="DB175" s="31">
        <v>2.5</v>
      </c>
      <c r="DC175" s="31">
        <v>6</v>
      </c>
      <c r="DD175" s="31">
        <v>4.5999999999999996</v>
      </c>
      <c r="DE175" s="31">
        <v>6</v>
      </c>
    </row>
    <row r="176" spans="1:109" hidden="1">
      <c r="A176" s="177"/>
      <c r="B176" s="187" t="s">
        <v>59</v>
      </c>
      <c r="C176" s="49" t="s">
        <v>54</v>
      </c>
      <c r="D176" s="31">
        <v>3</v>
      </c>
      <c r="E176" s="31">
        <v>1.5</v>
      </c>
      <c r="F176" s="31">
        <v>3</v>
      </c>
      <c r="G176" s="31">
        <v>3</v>
      </c>
      <c r="H176" s="134"/>
      <c r="I176" s="134"/>
      <c r="J176" s="134"/>
      <c r="K176" s="134"/>
      <c r="L176" s="242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55"/>
      <c r="Z176" s="242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56"/>
      <c r="AL176" s="242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56"/>
      <c r="AX176" s="31"/>
      <c r="AY176" s="31">
        <f>SUM(BA176,BC176,BE176)</f>
        <v>1.3</v>
      </c>
      <c r="AZ176" s="109"/>
      <c r="BA176" s="62">
        <v>1.3</v>
      </c>
      <c r="BB176" s="62"/>
      <c r="BC176" s="62"/>
      <c r="BD176" s="62"/>
      <c r="BE176" s="110"/>
      <c r="BF176" s="109"/>
      <c r="BG176" s="62"/>
      <c r="BH176" s="62"/>
      <c r="BI176" s="110"/>
      <c r="BJ176" s="426"/>
      <c r="BK176" s="427"/>
      <c r="BL176" s="560"/>
      <c r="BM176" s="109"/>
      <c r="BN176" s="62"/>
      <c r="BO176" s="470"/>
      <c r="BP176" s="64"/>
      <c r="BQ176" s="61"/>
      <c r="BR176" s="479"/>
      <c r="BS176" s="66"/>
      <c r="BT176" s="64"/>
      <c r="BU176" s="61"/>
      <c r="BV176" s="65"/>
      <c r="BW176" s="66"/>
      <c r="BX176" s="431"/>
      <c r="BY176" s="68"/>
      <c r="BZ176" s="69"/>
      <c r="CA176" s="70"/>
      <c r="CB176" s="71"/>
      <c r="CC176" s="72"/>
      <c r="CD176" s="562"/>
      <c r="CE176" s="561"/>
      <c r="CF176" s="73"/>
      <c r="CG176" s="74"/>
      <c r="CH176" s="74"/>
      <c r="CI176" s="74"/>
      <c r="CJ176" s="74"/>
      <c r="CK176" s="74"/>
      <c r="CL176" s="74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31">
        <v>1.5</v>
      </c>
      <c r="DB176" s="31">
        <v>1.5</v>
      </c>
      <c r="DC176" s="31">
        <v>3</v>
      </c>
      <c r="DD176" s="31"/>
      <c r="DE176" s="31">
        <v>3</v>
      </c>
    </row>
    <row r="177" spans="1:110" hidden="1">
      <c r="A177" s="177"/>
      <c r="B177" s="187" t="s">
        <v>162</v>
      </c>
      <c r="C177" s="49" t="s">
        <v>54</v>
      </c>
      <c r="D177" s="31">
        <v>15</v>
      </c>
      <c r="E177" s="31">
        <v>2</v>
      </c>
      <c r="F177" s="31">
        <v>15</v>
      </c>
      <c r="G177" s="31">
        <v>15</v>
      </c>
      <c r="H177" s="134"/>
      <c r="I177" s="134"/>
      <c r="J177" s="134"/>
      <c r="K177" s="134"/>
      <c r="L177" s="242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55"/>
      <c r="Z177" s="242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56"/>
      <c r="AL177" s="242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56"/>
      <c r="AX177" s="31"/>
      <c r="AY177" s="31">
        <f>SUM(BA177,BC177,BE177)</f>
        <v>1.9300999999899999</v>
      </c>
      <c r="AZ177" s="109"/>
      <c r="BA177" s="62">
        <v>1.1599999999999999</v>
      </c>
      <c r="BB177" s="62"/>
      <c r="BC177" s="62">
        <v>0.65009999999000001</v>
      </c>
      <c r="BD177" s="62"/>
      <c r="BE177" s="110">
        <v>0.12</v>
      </c>
      <c r="BF177" s="109">
        <v>0.06</v>
      </c>
      <c r="BG177" s="62"/>
      <c r="BH177" s="62"/>
      <c r="BI177" s="110"/>
      <c r="BJ177" s="426">
        <f t="shared" si="107"/>
        <v>1.1599999999999999</v>
      </c>
      <c r="BK177" s="427"/>
      <c r="BL177" s="560"/>
      <c r="BM177" s="109"/>
      <c r="BN177" s="62"/>
      <c r="BO177" s="470"/>
      <c r="BP177" s="64"/>
      <c r="BQ177" s="61"/>
      <c r="BR177" s="479"/>
      <c r="BS177" s="66"/>
      <c r="BT177" s="64"/>
      <c r="BU177" s="61"/>
      <c r="BV177" s="65"/>
      <c r="BW177" s="66"/>
      <c r="BX177" s="431"/>
      <c r="BY177" s="68"/>
      <c r="BZ177" s="69">
        <f t="shared" si="113"/>
        <v>0</v>
      </c>
      <c r="CA177" s="70"/>
      <c r="CB177" s="71"/>
      <c r="CC177" s="72">
        <f t="shared" si="114"/>
        <v>-2</v>
      </c>
      <c r="CD177" s="562">
        <v>70.2</v>
      </c>
      <c r="CE177" s="561"/>
      <c r="CF177" s="73"/>
      <c r="CG177" s="74"/>
      <c r="CH177" s="74"/>
      <c r="CI177" s="74"/>
      <c r="CJ177" s="74"/>
      <c r="CK177" s="74"/>
      <c r="CL177" s="74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31">
        <v>2</v>
      </c>
      <c r="DB177" s="31">
        <v>2</v>
      </c>
      <c r="DC177" s="31">
        <v>15</v>
      </c>
      <c r="DD177" s="31">
        <v>11.6</v>
      </c>
      <c r="DE177" s="31">
        <v>15</v>
      </c>
    </row>
    <row r="178" spans="1:110">
      <c r="A178" s="232" t="s">
        <v>268</v>
      </c>
      <c r="B178" s="166" t="s">
        <v>6</v>
      </c>
      <c r="C178" s="266" t="s">
        <v>54</v>
      </c>
      <c r="D178" s="108">
        <f>SUM(D179:D227)</f>
        <v>1335.4</v>
      </c>
      <c r="E178" s="108">
        <f>SUM(E179:E227)</f>
        <v>1398.1100000000001</v>
      </c>
      <c r="F178" s="108">
        <f>SUM(F179:F227)</f>
        <v>834.75</v>
      </c>
      <c r="G178" s="108">
        <f>SUM(G179:G227)</f>
        <v>834.75</v>
      </c>
      <c r="H178" s="234" t="e">
        <f>#REF!+H183</f>
        <v>#REF!</v>
      </c>
      <c r="I178" s="234" t="e">
        <f>#REF!+I183</f>
        <v>#REF!</v>
      </c>
      <c r="J178" s="234" t="e">
        <f>#REF!+J183</f>
        <v>#REF!</v>
      </c>
      <c r="K178" s="234" t="e">
        <f>#REF!+K183</f>
        <v>#REF!</v>
      </c>
      <c r="L178" s="235" t="e">
        <f>#REF!+L183</f>
        <v>#REF!</v>
      </c>
      <c r="M178" s="235" t="e">
        <f>#REF!+M183</f>
        <v>#REF!</v>
      </c>
      <c r="N178" s="235" t="e">
        <f>#REF!+N183</f>
        <v>#REF!</v>
      </c>
      <c r="O178" s="235" t="e">
        <f>#REF!+O183</f>
        <v>#REF!</v>
      </c>
      <c r="P178" s="235"/>
      <c r="Q178" s="235"/>
      <c r="R178" s="235">
        <v>136.47999999999999</v>
      </c>
      <c r="S178" s="235" t="e">
        <f>#REF!+S183</f>
        <v>#REF!</v>
      </c>
      <c r="T178" s="235" t="e">
        <f>#REF!+T183</f>
        <v>#REF!</v>
      </c>
      <c r="U178" s="235" t="e">
        <f>#REF!+U183</f>
        <v>#REF!</v>
      </c>
      <c r="V178" s="235"/>
      <c r="W178" s="235"/>
      <c r="X178" s="235" t="e">
        <f>O178-N178</f>
        <v>#REF!</v>
      </c>
      <c r="Y178" s="236" t="e">
        <f>O178/N178</f>
        <v>#REF!</v>
      </c>
      <c r="Z178" s="235" t="e">
        <f>#REF!+Z183</f>
        <v>#REF!</v>
      </c>
      <c r="AA178" s="235" t="e">
        <f>#REF!+AA183</f>
        <v>#REF!</v>
      </c>
      <c r="AB178" s="235" t="e">
        <f>#REF!+AB183</f>
        <v>#REF!</v>
      </c>
      <c r="AC178" s="235" t="e">
        <f>#REF!+AC183</f>
        <v>#REF!</v>
      </c>
      <c r="AD178" s="235" t="e">
        <f>#REF!+AD183</f>
        <v>#REF!</v>
      </c>
      <c r="AE178" s="235" t="e">
        <f>#REF!+AE183</f>
        <v>#REF!</v>
      </c>
      <c r="AF178" s="235" t="e">
        <f>#REF!+AF183</f>
        <v>#REF!</v>
      </c>
      <c r="AG178" s="235" t="e">
        <f>#REF!+AG183</f>
        <v>#REF!</v>
      </c>
      <c r="AH178" s="235"/>
      <c r="AI178" s="235"/>
      <c r="AJ178" s="235" t="e">
        <f>AC178-AB178</f>
        <v>#REF!</v>
      </c>
      <c r="AK178" s="237" t="e">
        <f>AC178/AB178</f>
        <v>#REF!</v>
      </c>
      <c r="AL178" s="235" t="e">
        <f>#REF!+AL183</f>
        <v>#REF!</v>
      </c>
      <c r="AM178" s="235" t="e">
        <f>#REF!+AM183</f>
        <v>#REF!</v>
      </c>
      <c r="AN178" s="235" t="e">
        <f>#REF!+AN183</f>
        <v>#REF!</v>
      </c>
      <c r="AO178" s="235" t="e">
        <f>#REF!+AO183</f>
        <v>#REF!</v>
      </c>
      <c r="AP178" s="235" t="e">
        <f>#REF!+AP183</f>
        <v>#REF!</v>
      </c>
      <c r="AQ178" s="235" t="e">
        <f>#REF!+AQ183</f>
        <v>#REF!</v>
      </c>
      <c r="AR178" s="235" t="e">
        <f>#REF!+AR183</f>
        <v>#REF!</v>
      </c>
      <c r="AS178" s="235" t="e">
        <f>#REF!+AS183</f>
        <v>#REF!</v>
      </c>
      <c r="AT178" s="235"/>
      <c r="AU178" s="235"/>
      <c r="AV178" s="235" t="e">
        <f>AO178-AN178</f>
        <v>#REF!</v>
      </c>
      <c r="AW178" s="237" t="e">
        <f>AO178/AN178</f>
        <v>#REF!</v>
      </c>
      <c r="AX178" s="101">
        <f>G178/2</f>
        <v>417.375</v>
      </c>
      <c r="AY178" s="101">
        <f>SUM(AY179:AY227)</f>
        <v>1305.58</v>
      </c>
      <c r="AZ178" s="238" t="e">
        <f>#REF!+AZ183</f>
        <v>#REF!</v>
      </c>
      <c r="BA178" s="239">
        <f t="shared" ref="BA178:BG178" si="116">SUM(BA179:BA227)</f>
        <v>420.11</v>
      </c>
      <c r="BB178" s="239">
        <f t="shared" si="116"/>
        <v>0</v>
      </c>
      <c r="BC178" s="239">
        <f t="shared" si="116"/>
        <v>209.14</v>
      </c>
      <c r="BD178" s="239">
        <f t="shared" si="116"/>
        <v>0</v>
      </c>
      <c r="BE178" s="240">
        <f t="shared" si="116"/>
        <v>46.86999999999999</v>
      </c>
      <c r="BF178" s="238">
        <f t="shared" si="116"/>
        <v>1.92</v>
      </c>
      <c r="BG178" s="239">
        <f t="shared" si="116"/>
        <v>81.94</v>
      </c>
      <c r="BH178" s="239"/>
      <c r="BI178" s="240"/>
      <c r="BJ178" s="417" t="e">
        <f t="shared" si="107"/>
        <v>#REF!</v>
      </c>
      <c r="BK178" s="545" t="e">
        <f>BA178/AZ178</f>
        <v>#REF!</v>
      </c>
      <c r="BL178" s="546"/>
      <c r="BM178" s="238" t="e">
        <f>#REF!+BM183</f>
        <v>#REF!</v>
      </c>
      <c r="BN178" s="239"/>
      <c r="BO178" s="455"/>
      <c r="BP178" s="547"/>
      <c r="BQ178" s="548"/>
      <c r="BR178" s="549"/>
      <c r="BS178" s="550"/>
      <c r="BT178" s="547"/>
      <c r="BU178" s="548"/>
      <c r="BV178" s="549"/>
      <c r="BW178" s="550"/>
      <c r="BX178" s="551" t="e">
        <f>#REF!</f>
        <v>#REF!</v>
      </c>
      <c r="BY178" s="552">
        <f>F178</f>
        <v>834.75</v>
      </c>
      <c r="BZ178" s="553" t="e">
        <f>M178+BM178+BQ178+BU178</f>
        <v>#REF!</v>
      </c>
      <c r="CA178" s="548" t="e">
        <f>BZ178-BY178</f>
        <v>#REF!</v>
      </c>
      <c r="CB178" s="554" t="e">
        <f>BZ178/BY178</f>
        <v>#REF!</v>
      </c>
      <c r="CC178" s="309" t="e">
        <f>BZ178-E178</f>
        <v>#REF!</v>
      </c>
      <c r="CD178" s="555" t="e">
        <f>#REF!+CD183</f>
        <v>#REF!</v>
      </c>
      <c r="CE178" s="556" t="e">
        <f>#REF!+CE183</f>
        <v>#REF!</v>
      </c>
      <c r="CF178" s="557"/>
      <c r="CG178" s="558"/>
      <c r="CH178" s="558"/>
      <c r="CI178" s="558"/>
      <c r="CJ178" s="558"/>
      <c r="CK178" s="558"/>
      <c r="CL178" s="558"/>
      <c r="CM178" s="559"/>
      <c r="CN178" s="559"/>
      <c r="CO178" s="559"/>
      <c r="CP178" s="559"/>
      <c r="CQ178" s="559"/>
      <c r="CR178" s="559"/>
      <c r="CS178" s="559"/>
      <c r="CT178" s="559"/>
      <c r="CU178" s="559"/>
      <c r="CV178" s="559"/>
      <c r="CW178" s="559"/>
      <c r="CX178" s="559"/>
      <c r="CY178" s="559"/>
      <c r="CZ178" s="559"/>
      <c r="DA178" s="101">
        <v>1404.11</v>
      </c>
      <c r="DB178" s="101">
        <f>SUM(DB179:DB227)</f>
        <v>858.75</v>
      </c>
      <c r="DC178" s="108">
        <v>1119.5999999999999</v>
      </c>
      <c r="DD178" s="108">
        <v>787.22</v>
      </c>
      <c r="DE178" s="108">
        <f>24+867.21+22.5+261.61</f>
        <v>1175.3200000000002</v>
      </c>
    </row>
    <row r="179" spans="1:110" hidden="1">
      <c r="A179" s="177"/>
      <c r="B179" s="187" t="s">
        <v>245</v>
      </c>
      <c r="C179" s="49" t="s">
        <v>54</v>
      </c>
      <c r="D179" s="31">
        <v>99.39</v>
      </c>
      <c r="E179" s="31">
        <v>105.35</v>
      </c>
      <c r="F179" s="31">
        <f>105.35-24</f>
        <v>81.349999999999994</v>
      </c>
      <c r="G179" s="31">
        <f>105.35-24</f>
        <v>81.349999999999994</v>
      </c>
      <c r="H179" s="134"/>
      <c r="I179" s="134"/>
      <c r="J179" s="134"/>
      <c r="K179" s="134"/>
      <c r="L179" s="242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55"/>
      <c r="Z179" s="242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56"/>
      <c r="AL179" s="242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56"/>
      <c r="AX179" s="31"/>
      <c r="AY179" s="31">
        <f>29.27+31.19</f>
        <v>60.46</v>
      </c>
      <c r="AZ179" s="109"/>
      <c r="BA179" s="62">
        <v>46.39</v>
      </c>
      <c r="BB179" s="62"/>
      <c r="BC179" s="62">
        <v>10.97</v>
      </c>
      <c r="BD179" s="62"/>
      <c r="BE179" s="110">
        <v>5.33</v>
      </c>
      <c r="BF179" s="109"/>
      <c r="BG179" s="62"/>
      <c r="BH179" s="62"/>
      <c r="BI179" s="110"/>
      <c r="BJ179" s="426">
        <f t="shared" si="107"/>
        <v>46.39</v>
      </c>
      <c r="BK179" s="427"/>
      <c r="BL179" s="560"/>
      <c r="BM179" s="109"/>
      <c r="BN179" s="62"/>
      <c r="BO179" s="470"/>
      <c r="BP179" s="64"/>
      <c r="BQ179" s="61"/>
      <c r="BR179" s="479"/>
      <c r="BS179" s="66"/>
      <c r="BT179" s="64"/>
      <c r="BU179" s="61"/>
      <c r="BV179" s="65"/>
      <c r="BW179" s="66"/>
      <c r="BX179" s="431"/>
      <c r="BY179" s="68"/>
      <c r="BZ179" s="69">
        <f t="shared" si="113"/>
        <v>0</v>
      </c>
      <c r="CA179" s="70"/>
      <c r="CB179" s="71"/>
      <c r="CC179" s="72">
        <f t="shared" si="114"/>
        <v>-105.35</v>
      </c>
      <c r="CD179" s="562">
        <v>24.3</v>
      </c>
      <c r="CE179" s="561"/>
      <c r="CF179" s="73"/>
      <c r="CG179" s="74"/>
      <c r="CH179" s="74"/>
      <c r="CI179" s="74"/>
      <c r="CJ179" s="74"/>
      <c r="CK179" s="74"/>
      <c r="CL179" s="74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31">
        <v>105.35</v>
      </c>
      <c r="DB179" s="31">
        <v>105.35</v>
      </c>
      <c r="DC179" s="31">
        <v>105.35</v>
      </c>
      <c r="DD179" s="31">
        <v>105.35</v>
      </c>
      <c r="DE179" s="31">
        <v>159.32</v>
      </c>
      <c r="DF179" s="771"/>
    </row>
    <row r="180" spans="1:110" hidden="1">
      <c r="A180" s="177"/>
      <c r="B180" s="187" t="s">
        <v>163</v>
      </c>
      <c r="C180" s="49" t="s">
        <v>54</v>
      </c>
      <c r="D180" s="31">
        <v>5.76</v>
      </c>
      <c r="E180" s="31">
        <v>7</v>
      </c>
      <c r="F180" s="31">
        <v>7</v>
      </c>
      <c r="G180" s="31">
        <v>7</v>
      </c>
      <c r="H180" s="134"/>
      <c r="I180" s="134"/>
      <c r="J180" s="134"/>
      <c r="K180" s="134"/>
      <c r="L180" s="242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55"/>
      <c r="Z180" s="242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56"/>
      <c r="AL180" s="242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56"/>
      <c r="AX180" s="31"/>
      <c r="AY180" s="31">
        <v>4.08</v>
      </c>
      <c r="AZ180" s="109"/>
      <c r="BA180" s="62"/>
      <c r="BB180" s="62"/>
      <c r="BC180" s="62"/>
      <c r="BD180" s="62"/>
      <c r="BE180" s="110"/>
      <c r="BF180" s="109"/>
      <c r="BG180" s="62">
        <f>AY180</f>
        <v>4.08</v>
      </c>
      <c r="BH180" s="62"/>
      <c r="BI180" s="110"/>
      <c r="BJ180" s="426">
        <f t="shared" si="107"/>
        <v>0</v>
      </c>
      <c r="BK180" s="427"/>
      <c r="BL180" s="560"/>
      <c r="BM180" s="109"/>
      <c r="BN180" s="62"/>
      <c r="BO180" s="470"/>
      <c r="BP180" s="64"/>
      <c r="BQ180" s="61"/>
      <c r="BR180" s="65"/>
      <c r="BS180" s="66"/>
      <c r="BT180" s="64"/>
      <c r="BU180" s="61"/>
      <c r="BV180" s="65"/>
      <c r="BW180" s="66"/>
      <c r="BX180" s="431"/>
      <c r="BY180" s="68"/>
      <c r="BZ180" s="69">
        <f t="shared" si="113"/>
        <v>0</v>
      </c>
      <c r="CA180" s="70"/>
      <c r="CB180" s="71"/>
      <c r="CC180" s="72">
        <f t="shared" si="114"/>
        <v>-7</v>
      </c>
      <c r="CD180" s="562">
        <v>0.24</v>
      </c>
      <c r="CE180" s="561"/>
      <c r="CF180" s="73"/>
      <c r="CG180" s="74"/>
      <c r="CH180" s="74"/>
      <c r="CI180" s="74"/>
      <c r="CJ180" s="74"/>
      <c r="CK180" s="74"/>
      <c r="CL180" s="74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31">
        <v>7</v>
      </c>
      <c r="DB180" s="31">
        <v>7</v>
      </c>
      <c r="DC180" s="31">
        <v>7</v>
      </c>
      <c r="DD180" s="31">
        <v>7</v>
      </c>
      <c r="DE180" s="31">
        <v>7</v>
      </c>
    </row>
    <row r="181" spans="1:110" hidden="1">
      <c r="A181" s="177"/>
      <c r="B181" s="187" t="s">
        <v>7</v>
      </c>
      <c r="C181" s="49" t="s">
        <v>54</v>
      </c>
      <c r="D181" s="31">
        <v>40</v>
      </c>
      <c r="E181" s="31">
        <v>50</v>
      </c>
      <c r="F181" s="31">
        <v>50</v>
      </c>
      <c r="G181" s="31">
        <v>50</v>
      </c>
      <c r="H181" s="134">
        <v>29.62</v>
      </c>
      <c r="I181" s="134"/>
      <c r="J181" s="134"/>
      <c r="K181" s="134"/>
      <c r="L181" s="134">
        <f>G181/12</f>
        <v>4.166666666666667</v>
      </c>
      <c r="M181" s="134">
        <v>0.69</v>
      </c>
      <c r="N181" s="134">
        <f>H181/12</f>
        <v>2.4683333333333333</v>
      </c>
      <c r="O181" s="134">
        <v>0.69</v>
      </c>
      <c r="P181" s="134"/>
      <c r="Q181" s="134"/>
      <c r="R181" s="134"/>
      <c r="S181" s="134"/>
      <c r="T181" s="134"/>
      <c r="U181" s="134"/>
      <c r="V181" s="134"/>
      <c r="W181" s="134"/>
      <c r="X181" s="134">
        <f>O181-N181</f>
        <v>-1.7783333333333333</v>
      </c>
      <c r="Y181" s="155">
        <f>O181/N181</f>
        <v>0.27954085077650237</v>
      </c>
      <c r="Z181" s="134">
        <v>2.4700000000000002</v>
      </c>
      <c r="AA181" s="134">
        <v>5.08</v>
      </c>
      <c r="AB181" s="134">
        <v>2.4700000000000002</v>
      </c>
      <c r="AC181" s="134"/>
      <c r="AD181" s="134"/>
      <c r="AE181" s="134"/>
      <c r="AF181" s="134"/>
      <c r="AG181" s="134"/>
      <c r="AH181" s="134"/>
      <c r="AI181" s="134"/>
      <c r="AJ181" s="134">
        <f>AC181-AB181</f>
        <v>-2.4700000000000002</v>
      </c>
      <c r="AK181" s="156">
        <f>AC181/AB181</f>
        <v>0</v>
      </c>
      <c r="AL181" s="134">
        <v>2.4700000000000002</v>
      </c>
      <c r="AM181" s="134">
        <v>5.08</v>
      </c>
      <c r="AN181" s="134">
        <v>2.4700000000000002</v>
      </c>
      <c r="AO181" s="134"/>
      <c r="AP181" s="134"/>
      <c r="AQ181" s="134"/>
      <c r="AR181" s="134"/>
      <c r="AS181" s="134"/>
      <c r="AT181" s="134"/>
      <c r="AU181" s="134"/>
      <c r="AV181" s="134">
        <f>AO181-AN181</f>
        <v>-2.4700000000000002</v>
      </c>
      <c r="AW181" s="156">
        <f>AO181/AN181</f>
        <v>0</v>
      </c>
      <c r="AX181" s="31">
        <f>G181/2</f>
        <v>25</v>
      </c>
      <c r="AY181" s="31">
        <v>0.37</v>
      </c>
      <c r="AZ181" s="109"/>
      <c r="BA181" s="62">
        <v>0.57999999999999996</v>
      </c>
      <c r="BB181" s="62"/>
      <c r="BC181" s="62">
        <v>0.71</v>
      </c>
      <c r="BD181" s="62"/>
      <c r="BE181" s="110">
        <v>0.26</v>
      </c>
      <c r="BF181" s="109">
        <v>0.6</v>
      </c>
      <c r="BG181" s="62"/>
      <c r="BH181" s="62"/>
      <c r="BI181" s="110"/>
      <c r="BJ181" s="426">
        <f t="shared" si="107"/>
        <v>0.57999999999999996</v>
      </c>
      <c r="BK181" s="427" t="e">
        <f>BA181/AZ181</f>
        <v>#DIV/0!</v>
      </c>
      <c r="BL181" s="560"/>
      <c r="BM181" s="109">
        <v>5.077</v>
      </c>
      <c r="BN181" s="62"/>
      <c r="BO181" s="470"/>
      <c r="BP181" s="64"/>
      <c r="BQ181" s="61"/>
      <c r="BR181" s="65"/>
      <c r="BS181" s="66"/>
      <c r="BT181" s="64"/>
      <c r="BU181" s="61"/>
      <c r="BV181" s="65"/>
      <c r="BW181" s="66"/>
      <c r="BX181" s="431"/>
      <c r="BY181" s="68"/>
      <c r="BZ181" s="69">
        <f t="shared" si="113"/>
        <v>5.7669999999999995</v>
      </c>
      <c r="CA181" s="70"/>
      <c r="CB181" s="71"/>
      <c r="CC181" s="72">
        <f t="shared" si="114"/>
        <v>-44.233000000000004</v>
      </c>
      <c r="CD181" s="562">
        <v>61.63</v>
      </c>
      <c r="CE181" s="561"/>
      <c r="CF181" s="73"/>
      <c r="CG181" s="74"/>
      <c r="CH181" s="74"/>
      <c r="CI181" s="74"/>
      <c r="CJ181" s="74"/>
      <c r="CK181" s="74"/>
      <c r="CL181" s="74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31">
        <v>50</v>
      </c>
      <c r="DB181" s="31">
        <v>50</v>
      </c>
      <c r="DC181" s="31">
        <v>50</v>
      </c>
      <c r="DD181" s="31">
        <v>50</v>
      </c>
      <c r="DE181" s="31">
        <v>50</v>
      </c>
    </row>
    <row r="182" spans="1:110" hidden="1">
      <c r="A182" s="177"/>
      <c r="B182" s="187" t="s">
        <v>65</v>
      </c>
      <c r="C182" s="49" t="s">
        <v>54</v>
      </c>
      <c r="D182" s="31">
        <v>6.25</v>
      </c>
      <c r="E182" s="31">
        <v>6.63</v>
      </c>
      <c r="F182" s="31">
        <v>6.63</v>
      </c>
      <c r="G182" s="31">
        <v>6.63</v>
      </c>
      <c r="H182" s="134"/>
      <c r="I182" s="134"/>
      <c r="J182" s="134"/>
      <c r="K182" s="134"/>
      <c r="L182" s="242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55"/>
      <c r="Z182" s="242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56"/>
      <c r="AL182" s="242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56"/>
      <c r="AX182" s="31"/>
      <c r="AY182" s="31">
        <v>7.6</v>
      </c>
      <c r="AZ182" s="109"/>
      <c r="BA182" s="62">
        <v>2.8</v>
      </c>
      <c r="BB182" s="62"/>
      <c r="BC182" s="62">
        <v>2.95</v>
      </c>
      <c r="BD182" s="62"/>
      <c r="BE182" s="110">
        <v>0.88</v>
      </c>
      <c r="BF182" s="109"/>
      <c r="BG182" s="62"/>
      <c r="BH182" s="62"/>
      <c r="BI182" s="110"/>
      <c r="BJ182" s="426">
        <f t="shared" si="107"/>
        <v>2.8</v>
      </c>
      <c r="BK182" s="427"/>
      <c r="BL182" s="560"/>
      <c r="BM182" s="109"/>
      <c r="BN182" s="62"/>
      <c r="BO182" s="470"/>
      <c r="BP182" s="64"/>
      <c r="BQ182" s="61"/>
      <c r="BR182" s="65"/>
      <c r="BS182" s="66"/>
      <c r="BT182" s="64"/>
      <c r="BU182" s="61"/>
      <c r="BV182" s="65"/>
      <c r="BW182" s="66"/>
      <c r="BX182" s="431"/>
      <c r="BY182" s="68"/>
      <c r="BZ182" s="69">
        <f t="shared" si="113"/>
        <v>0</v>
      </c>
      <c r="CA182" s="70"/>
      <c r="CB182" s="71"/>
      <c r="CC182" s="72">
        <f t="shared" si="114"/>
        <v>-6.63</v>
      </c>
      <c r="CD182" s="562">
        <v>0.96</v>
      </c>
      <c r="CE182" s="561"/>
      <c r="CF182" s="73"/>
      <c r="CG182" s="74"/>
      <c r="CH182" s="74"/>
      <c r="CI182" s="74"/>
      <c r="CJ182" s="74"/>
      <c r="CK182" s="74"/>
      <c r="CL182" s="74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31">
        <v>6.63</v>
      </c>
      <c r="DB182" s="31">
        <v>6.63</v>
      </c>
      <c r="DC182" s="31">
        <v>6.63</v>
      </c>
      <c r="DD182" s="31">
        <v>6.63</v>
      </c>
      <c r="DE182" s="31">
        <v>6.63</v>
      </c>
    </row>
    <row r="183" spans="1:110" hidden="1">
      <c r="A183" s="177"/>
      <c r="B183" s="187" t="s">
        <v>55</v>
      </c>
      <c r="C183" s="49" t="s">
        <v>54</v>
      </c>
      <c r="D183" s="31">
        <v>90</v>
      </c>
      <c r="E183" s="31"/>
      <c r="F183" s="31"/>
      <c r="G183" s="31"/>
      <c r="H183" s="134"/>
      <c r="I183" s="134"/>
      <c r="J183" s="134"/>
      <c r="K183" s="134"/>
      <c r="L183" s="242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55"/>
      <c r="Z183" s="242"/>
      <c r="AA183" s="134">
        <v>64.86</v>
      </c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56"/>
      <c r="AL183" s="242"/>
      <c r="AM183" s="134">
        <v>64.86</v>
      </c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56"/>
      <c r="AX183" s="31"/>
      <c r="AY183" s="31">
        <v>18.96</v>
      </c>
      <c r="AZ183" s="109"/>
      <c r="BA183" s="62"/>
      <c r="BB183" s="62"/>
      <c r="BC183" s="62"/>
      <c r="BD183" s="62"/>
      <c r="BE183" s="110"/>
      <c r="BF183" s="109"/>
      <c r="BG183" s="62"/>
      <c r="BH183" s="62"/>
      <c r="BI183" s="110"/>
      <c r="BJ183" s="426">
        <f t="shared" si="107"/>
        <v>0</v>
      </c>
      <c r="BK183" s="427"/>
      <c r="BL183" s="560"/>
      <c r="BM183" s="109">
        <v>64.856999999999999</v>
      </c>
      <c r="BN183" s="62"/>
      <c r="BO183" s="470"/>
      <c r="BP183" s="64"/>
      <c r="BQ183" s="61"/>
      <c r="BR183" s="65"/>
      <c r="BS183" s="66"/>
      <c r="BT183" s="64"/>
      <c r="BU183" s="61"/>
      <c r="BV183" s="65"/>
      <c r="BW183" s="66"/>
      <c r="BX183" s="431"/>
      <c r="BY183" s="68"/>
      <c r="BZ183" s="69"/>
      <c r="CA183" s="70"/>
      <c r="CB183" s="71"/>
      <c r="CC183" s="72"/>
      <c r="CD183" s="562"/>
      <c r="CE183" s="561"/>
      <c r="CF183" s="73"/>
      <c r="CG183" s="74"/>
      <c r="CH183" s="74"/>
      <c r="CI183" s="74"/>
      <c r="CJ183" s="74"/>
      <c r="CK183" s="74"/>
      <c r="CL183" s="74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31"/>
      <c r="DB183" s="31"/>
      <c r="DC183" s="31"/>
      <c r="DD183" s="31"/>
      <c r="DE183" s="31"/>
    </row>
    <row r="184" spans="1:110" ht="24" hidden="1">
      <c r="A184" s="177"/>
      <c r="B184" s="187" t="s">
        <v>164</v>
      </c>
      <c r="C184" s="49" t="s">
        <v>54</v>
      </c>
      <c r="D184" s="31"/>
      <c r="E184" s="31"/>
      <c r="F184" s="31"/>
      <c r="G184" s="31"/>
      <c r="H184" s="134"/>
      <c r="I184" s="134"/>
      <c r="J184" s="134"/>
      <c r="K184" s="134"/>
      <c r="L184" s="242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55"/>
      <c r="Z184" s="24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56"/>
      <c r="AL184" s="242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56"/>
      <c r="AX184" s="31"/>
      <c r="AY184" s="31">
        <v>42.66</v>
      </c>
      <c r="AZ184" s="109"/>
      <c r="BA184" s="62"/>
      <c r="BB184" s="62"/>
      <c r="BC184" s="62"/>
      <c r="BD184" s="62"/>
      <c r="BE184" s="110"/>
      <c r="BF184" s="109"/>
      <c r="BG184" s="62">
        <v>1.65</v>
      </c>
      <c r="BH184" s="62"/>
      <c r="BI184" s="110"/>
      <c r="BJ184" s="426"/>
      <c r="BK184" s="427"/>
      <c r="BL184" s="560"/>
      <c r="BM184" s="109"/>
      <c r="BN184" s="62"/>
      <c r="BO184" s="470"/>
      <c r="BP184" s="64"/>
      <c r="BQ184" s="61"/>
      <c r="BR184" s="65"/>
      <c r="BS184" s="66"/>
      <c r="BT184" s="64"/>
      <c r="BU184" s="61"/>
      <c r="BV184" s="65"/>
      <c r="BW184" s="66"/>
      <c r="BX184" s="431"/>
      <c r="BY184" s="68"/>
      <c r="BZ184" s="69"/>
      <c r="CA184" s="70"/>
      <c r="CB184" s="71"/>
      <c r="CC184" s="72"/>
      <c r="CD184" s="562"/>
      <c r="CE184" s="561"/>
      <c r="CF184" s="73"/>
      <c r="CG184" s="74"/>
      <c r="CH184" s="74"/>
      <c r="CI184" s="74"/>
      <c r="CJ184" s="74"/>
      <c r="CK184" s="74"/>
      <c r="CL184" s="74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31"/>
      <c r="DB184" s="31"/>
      <c r="DC184" s="31"/>
      <c r="DD184" s="31"/>
      <c r="DE184" s="31"/>
    </row>
    <row r="185" spans="1:110" hidden="1">
      <c r="A185" s="177"/>
      <c r="B185" s="187" t="s">
        <v>313</v>
      </c>
      <c r="C185" s="49" t="s">
        <v>54</v>
      </c>
      <c r="D185" s="31"/>
      <c r="E185" s="31"/>
      <c r="F185" s="31"/>
      <c r="G185" s="31"/>
      <c r="H185" s="134"/>
      <c r="I185" s="134"/>
      <c r="J185" s="134"/>
      <c r="K185" s="134"/>
      <c r="L185" s="242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55"/>
      <c r="Z185" s="242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56"/>
      <c r="AL185" s="242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56"/>
      <c r="AX185" s="31"/>
      <c r="AY185" s="31">
        <v>9</v>
      </c>
      <c r="AZ185" s="109"/>
      <c r="BA185" s="62"/>
      <c r="BB185" s="62"/>
      <c r="BC185" s="62"/>
      <c r="BD185" s="62"/>
      <c r="BE185" s="110"/>
      <c r="BF185" s="109"/>
      <c r="BG185" s="62"/>
      <c r="BH185" s="62"/>
      <c r="BI185" s="110"/>
      <c r="BJ185" s="426"/>
      <c r="BK185" s="427"/>
      <c r="BL185" s="560"/>
      <c r="BM185" s="109"/>
      <c r="BN185" s="62"/>
      <c r="BO185" s="470"/>
      <c r="BP185" s="64"/>
      <c r="BQ185" s="61"/>
      <c r="BR185" s="65"/>
      <c r="BS185" s="66"/>
      <c r="BT185" s="64"/>
      <c r="BU185" s="61"/>
      <c r="BV185" s="65"/>
      <c r="BW185" s="66"/>
      <c r="BX185" s="431"/>
      <c r="BY185" s="68"/>
      <c r="BZ185" s="69"/>
      <c r="CA185" s="70"/>
      <c r="CB185" s="71"/>
      <c r="CC185" s="72"/>
      <c r="CD185" s="562"/>
      <c r="CE185" s="561"/>
      <c r="CF185" s="73"/>
      <c r="CG185" s="74"/>
      <c r="CH185" s="74"/>
      <c r="CI185" s="74"/>
      <c r="CJ185" s="74"/>
      <c r="CK185" s="74"/>
      <c r="CL185" s="74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31"/>
      <c r="DB185" s="31"/>
      <c r="DC185" s="31"/>
      <c r="DD185" s="31"/>
      <c r="DE185" s="31"/>
    </row>
    <row r="186" spans="1:110" hidden="1">
      <c r="A186" s="177"/>
      <c r="B186" s="187" t="s">
        <v>162</v>
      </c>
      <c r="C186" s="49" t="s">
        <v>54</v>
      </c>
      <c r="D186" s="31"/>
      <c r="E186" s="31"/>
      <c r="F186" s="31"/>
      <c r="G186" s="31"/>
      <c r="H186" s="134"/>
      <c r="I186" s="134"/>
      <c r="J186" s="134"/>
      <c r="K186" s="134"/>
      <c r="L186" s="242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55"/>
      <c r="Z186" s="24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56"/>
      <c r="AL186" s="242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56"/>
      <c r="AX186" s="31"/>
      <c r="AY186" s="31">
        <v>3.19</v>
      </c>
      <c r="AZ186" s="109"/>
      <c r="BA186" s="62"/>
      <c r="BB186" s="62"/>
      <c r="BC186" s="62"/>
      <c r="BD186" s="62"/>
      <c r="BE186" s="110"/>
      <c r="BF186" s="109"/>
      <c r="BG186" s="62"/>
      <c r="BH186" s="62"/>
      <c r="BI186" s="110"/>
      <c r="BJ186" s="426"/>
      <c r="BK186" s="427"/>
      <c r="BL186" s="560"/>
      <c r="BM186" s="109"/>
      <c r="BN186" s="62"/>
      <c r="BO186" s="470"/>
      <c r="BP186" s="64"/>
      <c r="BQ186" s="61"/>
      <c r="BR186" s="65"/>
      <c r="BS186" s="66"/>
      <c r="BT186" s="64"/>
      <c r="BU186" s="61"/>
      <c r="BV186" s="65"/>
      <c r="BW186" s="66"/>
      <c r="BX186" s="431"/>
      <c r="BY186" s="68"/>
      <c r="BZ186" s="69"/>
      <c r="CA186" s="70"/>
      <c r="CB186" s="71"/>
      <c r="CC186" s="72"/>
      <c r="CD186" s="562"/>
      <c r="CE186" s="561"/>
      <c r="CF186" s="73"/>
      <c r="CG186" s="74"/>
      <c r="CH186" s="74"/>
      <c r="CI186" s="74"/>
      <c r="CJ186" s="74"/>
      <c r="CK186" s="74"/>
      <c r="CL186" s="74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31"/>
      <c r="DB186" s="31"/>
      <c r="DC186" s="31"/>
      <c r="DD186" s="31"/>
      <c r="DE186" s="31"/>
    </row>
    <row r="187" spans="1:110" hidden="1">
      <c r="A187" s="177"/>
      <c r="B187" s="187" t="s">
        <v>165</v>
      </c>
      <c r="C187" s="49" t="s">
        <v>54</v>
      </c>
      <c r="D187" s="31"/>
      <c r="E187" s="31"/>
      <c r="F187" s="31"/>
      <c r="G187" s="31"/>
      <c r="H187" s="134"/>
      <c r="I187" s="134"/>
      <c r="J187" s="134"/>
      <c r="K187" s="134"/>
      <c r="L187" s="242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55"/>
      <c r="Z187" s="242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56"/>
      <c r="AL187" s="242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56"/>
      <c r="AX187" s="31"/>
      <c r="AY187" s="31"/>
      <c r="AZ187" s="109"/>
      <c r="BA187" s="62">
        <v>48.66</v>
      </c>
      <c r="BB187" s="62"/>
      <c r="BC187" s="62">
        <v>9.5299999999999994</v>
      </c>
      <c r="BD187" s="62"/>
      <c r="BE187" s="110">
        <v>2.35</v>
      </c>
      <c r="BF187" s="109"/>
      <c r="BG187" s="62"/>
      <c r="BH187" s="62"/>
      <c r="BI187" s="110"/>
      <c r="BJ187" s="426"/>
      <c r="BK187" s="427"/>
      <c r="BL187" s="560"/>
      <c r="BM187" s="109"/>
      <c r="BN187" s="62"/>
      <c r="BO187" s="470"/>
      <c r="BP187" s="64"/>
      <c r="BQ187" s="61"/>
      <c r="BR187" s="65"/>
      <c r="BS187" s="66"/>
      <c r="BT187" s="64"/>
      <c r="BU187" s="61"/>
      <c r="BV187" s="65"/>
      <c r="BW187" s="66"/>
      <c r="BX187" s="431"/>
      <c r="BY187" s="68"/>
      <c r="BZ187" s="69"/>
      <c r="CA187" s="70"/>
      <c r="CB187" s="71"/>
      <c r="CC187" s="72"/>
      <c r="CD187" s="562"/>
      <c r="CE187" s="561"/>
      <c r="CF187" s="73"/>
      <c r="CG187" s="74"/>
      <c r="CH187" s="74"/>
      <c r="CI187" s="74"/>
      <c r="CJ187" s="74"/>
      <c r="CK187" s="74"/>
      <c r="CL187" s="74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31"/>
      <c r="DB187" s="31"/>
      <c r="DC187" s="31"/>
      <c r="DD187" s="31"/>
      <c r="DE187" s="31"/>
    </row>
    <row r="188" spans="1:110" hidden="1">
      <c r="A188" s="177"/>
      <c r="B188" s="187" t="s">
        <v>212</v>
      </c>
      <c r="C188" s="49" t="s">
        <v>54</v>
      </c>
      <c r="D188" s="31"/>
      <c r="E188" s="31"/>
      <c r="F188" s="31"/>
      <c r="G188" s="31"/>
      <c r="H188" s="134"/>
      <c r="I188" s="134"/>
      <c r="J188" s="134"/>
      <c r="K188" s="134"/>
      <c r="L188" s="242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55"/>
      <c r="Z188" s="242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56"/>
      <c r="AL188" s="242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56"/>
      <c r="AX188" s="31"/>
      <c r="AY188" s="31"/>
      <c r="AZ188" s="109"/>
      <c r="BA188" s="62"/>
      <c r="BB188" s="62"/>
      <c r="BC188" s="62"/>
      <c r="BD188" s="62"/>
      <c r="BE188" s="110"/>
      <c r="BF188" s="109"/>
      <c r="BG188" s="62">
        <f>AY188</f>
        <v>0</v>
      </c>
      <c r="BH188" s="62"/>
      <c r="BI188" s="110"/>
      <c r="BJ188" s="426"/>
      <c r="BK188" s="427"/>
      <c r="BL188" s="560"/>
      <c r="BM188" s="109"/>
      <c r="BN188" s="62"/>
      <c r="BO188" s="470"/>
      <c r="BP188" s="64"/>
      <c r="BQ188" s="61"/>
      <c r="BR188" s="65"/>
      <c r="BS188" s="66"/>
      <c r="BT188" s="64"/>
      <c r="BU188" s="61"/>
      <c r="BV188" s="65"/>
      <c r="BW188" s="66"/>
      <c r="BX188" s="431"/>
      <c r="BY188" s="68"/>
      <c r="BZ188" s="69"/>
      <c r="CA188" s="70"/>
      <c r="CB188" s="71"/>
      <c r="CC188" s="72"/>
      <c r="CD188" s="562"/>
      <c r="CE188" s="561"/>
      <c r="CF188" s="73"/>
      <c r="CG188" s="74"/>
      <c r="CH188" s="74"/>
      <c r="CI188" s="74"/>
      <c r="CJ188" s="74"/>
      <c r="CK188" s="74"/>
      <c r="CL188" s="74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31"/>
      <c r="DB188" s="31"/>
      <c r="DC188" s="31"/>
      <c r="DD188" s="31"/>
      <c r="DE188" s="31"/>
    </row>
    <row r="189" spans="1:110" hidden="1">
      <c r="A189" s="177"/>
      <c r="B189" s="187" t="s">
        <v>13</v>
      </c>
      <c r="C189" s="49" t="s">
        <v>54</v>
      </c>
      <c r="D189" s="31"/>
      <c r="E189" s="31"/>
      <c r="F189" s="31"/>
      <c r="G189" s="31"/>
      <c r="H189" s="134"/>
      <c r="I189" s="134"/>
      <c r="J189" s="134"/>
      <c r="K189" s="134"/>
      <c r="L189" s="242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55"/>
      <c r="Z189" s="242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56"/>
      <c r="AL189" s="242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56"/>
      <c r="AX189" s="31"/>
      <c r="AY189" s="31">
        <v>159.19</v>
      </c>
      <c r="AZ189" s="109"/>
      <c r="BA189" s="62"/>
      <c r="BB189" s="62"/>
      <c r="BC189" s="62"/>
      <c r="BD189" s="62"/>
      <c r="BE189" s="110"/>
      <c r="BF189" s="109"/>
      <c r="BG189" s="62">
        <v>6.92</v>
      </c>
      <c r="BH189" s="62"/>
      <c r="BI189" s="110"/>
      <c r="BJ189" s="426">
        <f>BA189-AZ189</f>
        <v>0</v>
      </c>
      <c r="BK189" s="427"/>
      <c r="BL189" s="560"/>
      <c r="BM189" s="109"/>
      <c r="BN189" s="62"/>
      <c r="BO189" s="470"/>
      <c r="BP189" s="64"/>
      <c r="BQ189" s="61"/>
      <c r="BR189" s="65"/>
      <c r="BS189" s="66"/>
      <c r="BT189" s="64"/>
      <c r="BU189" s="61"/>
      <c r="BV189" s="65"/>
      <c r="BW189" s="66"/>
      <c r="BX189" s="431"/>
      <c r="BY189" s="68"/>
      <c r="BZ189" s="69">
        <f>M189+BM189+BQ189+BU189</f>
        <v>0</v>
      </c>
      <c r="CA189" s="70"/>
      <c r="CB189" s="71"/>
      <c r="CC189" s="72">
        <f>BZ189-E189</f>
        <v>0</v>
      </c>
      <c r="CD189" s="562">
        <v>0.23</v>
      </c>
      <c r="CE189" s="561"/>
      <c r="CF189" s="73"/>
      <c r="CG189" s="74"/>
      <c r="CH189" s="74"/>
      <c r="CI189" s="74"/>
      <c r="CJ189" s="74"/>
      <c r="CK189" s="74"/>
      <c r="CL189" s="74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31"/>
      <c r="DB189" s="31"/>
      <c r="DC189" s="31"/>
      <c r="DD189" s="31"/>
      <c r="DE189" s="31"/>
    </row>
    <row r="190" spans="1:110" hidden="1">
      <c r="A190" s="177"/>
      <c r="B190" s="187" t="s">
        <v>232</v>
      </c>
      <c r="C190" s="49" t="s">
        <v>54</v>
      </c>
      <c r="D190" s="31">
        <v>57.5</v>
      </c>
      <c r="E190" s="31">
        <v>341.36</v>
      </c>
      <c r="F190" s="31"/>
      <c r="G190" s="31"/>
      <c r="H190" s="134"/>
      <c r="I190" s="134"/>
      <c r="J190" s="134"/>
      <c r="K190" s="134"/>
      <c r="L190" s="242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55"/>
      <c r="Z190" s="242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56"/>
      <c r="AL190" s="242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56"/>
      <c r="AX190" s="31"/>
      <c r="AY190" s="31">
        <v>612.07000000000005</v>
      </c>
      <c r="AZ190" s="109"/>
      <c r="BA190" s="62">
        <v>37.47</v>
      </c>
      <c r="BB190" s="62"/>
      <c r="BC190" s="62">
        <v>37.46</v>
      </c>
      <c r="BD190" s="62"/>
      <c r="BE190" s="110"/>
      <c r="BF190" s="109"/>
      <c r="BG190" s="62"/>
      <c r="BH190" s="62"/>
      <c r="BI190" s="110"/>
      <c r="BJ190" s="426"/>
      <c r="BK190" s="427"/>
      <c r="BL190" s="560"/>
      <c r="BM190" s="109"/>
      <c r="BN190" s="62"/>
      <c r="BO190" s="470"/>
      <c r="BP190" s="64"/>
      <c r="BQ190" s="61"/>
      <c r="BR190" s="65"/>
      <c r="BS190" s="66"/>
      <c r="BT190" s="64"/>
      <c r="BU190" s="61"/>
      <c r="BV190" s="65"/>
      <c r="BW190" s="66"/>
      <c r="BX190" s="431"/>
      <c r="BY190" s="68"/>
      <c r="BZ190" s="69"/>
      <c r="CA190" s="70"/>
      <c r="CB190" s="71"/>
      <c r="CC190" s="72"/>
      <c r="CD190" s="562"/>
      <c r="CE190" s="561"/>
      <c r="CF190" s="73"/>
      <c r="CG190" s="74"/>
      <c r="CH190" s="74"/>
      <c r="CI190" s="74"/>
      <c r="CJ190" s="74"/>
      <c r="CK190" s="74"/>
      <c r="CL190" s="74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395">
        <v>341.36</v>
      </c>
      <c r="DB190" s="31">
        <v>0</v>
      </c>
      <c r="DC190" s="31"/>
      <c r="DD190" s="31"/>
      <c r="DE190" s="31"/>
    </row>
    <row r="191" spans="1:110" hidden="1">
      <c r="A191" s="177"/>
      <c r="B191" s="187" t="s">
        <v>182</v>
      </c>
      <c r="C191" s="49" t="s">
        <v>54</v>
      </c>
      <c r="D191" s="31">
        <v>24</v>
      </c>
      <c r="E191" s="31">
        <v>24</v>
      </c>
      <c r="F191" s="31">
        <v>24</v>
      </c>
      <c r="G191" s="31">
        <v>24</v>
      </c>
      <c r="H191" s="134"/>
      <c r="I191" s="134"/>
      <c r="J191" s="134"/>
      <c r="K191" s="134"/>
      <c r="L191" s="242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55"/>
      <c r="Z191" s="242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56"/>
      <c r="AL191" s="242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56"/>
      <c r="AX191" s="31"/>
      <c r="AY191" s="31">
        <v>12</v>
      </c>
      <c r="AZ191" s="109"/>
      <c r="BA191" s="62">
        <v>1.03</v>
      </c>
      <c r="BB191" s="62"/>
      <c r="BC191" s="62">
        <v>1.03</v>
      </c>
      <c r="BD191" s="62"/>
      <c r="BE191" s="110"/>
      <c r="BF191" s="109"/>
      <c r="BG191" s="62"/>
      <c r="BH191" s="62"/>
      <c r="BI191" s="110"/>
      <c r="BJ191" s="426"/>
      <c r="BK191" s="427"/>
      <c r="BL191" s="560"/>
      <c r="BM191" s="109"/>
      <c r="BN191" s="62"/>
      <c r="BO191" s="470"/>
      <c r="BP191" s="64"/>
      <c r="BQ191" s="61"/>
      <c r="BR191" s="65"/>
      <c r="BS191" s="66"/>
      <c r="BT191" s="64"/>
      <c r="BU191" s="61"/>
      <c r="BV191" s="65"/>
      <c r="BW191" s="66"/>
      <c r="BX191" s="431"/>
      <c r="BY191" s="68"/>
      <c r="BZ191" s="69"/>
      <c r="CA191" s="70"/>
      <c r="CB191" s="71"/>
      <c r="CC191" s="72"/>
      <c r="CD191" s="562"/>
      <c r="CE191" s="561"/>
      <c r="CF191" s="73"/>
      <c r="CG191" s="74"/>
      <c r="CH191" s="74"/>
      <c r="CI191" s="74"/>
      <c r="CJ191" s="74"/>
      <c r="CK191" s="74"/>
      <c r="CL191" s="74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31">
        <v>24</v>
      </c>
      <c r="DB191" s="31">
        <v>24</v>
      </c>
      <c r="DC191" s="31">
        <v>24</v>
      </c>
      <c r="DD191" s="31">
        <v>24</v>
      </c>
      <c r="DE191" s="31">
        <v>24</v>
      </c>
    </row>
    <row r="192" spans="1:110" hidden="1">
      <c r="A192" s="177"/>
      <c r="B192" s="187" t="s">
        <v>250</v>
      </c>
      <c r="C192" s="49" t="s">
        <v>54</v>
      </c>
      <c r="D192" s="31"/>
      <c r="E192" s="31">
        <v>39.9</v>
      </c>
      <c r="F192" s="31">
        <v>39.9</v>
      </c>
      <c r="G192" s="31">
        <v>39.9</v>
      </c>
      <c r="H192" s="134"/>
      <c r="I192" s="134"/>
      <c r="J192" s="134"/>
      <c r="K192" s="134"/>
      <c r="L192" s="242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55"/>
      <c r="Z192" s="242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56"/>
      <c r="AL192" s="242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56"/>
      <c r="AX192" s="31"/>
      <c r="AY192" s="31"/>
      <c r="AZ192" s="109"/>
      <c r="BA192" s="62"/>
      <c r="BB192" s="62"/>
      <c r="BC192" s="62"/>
      <c r="BD192" s="62"/>
      <c r="BE192" s="110"/>
      <c r="BF192" s="109"/>
      <c r="BG192" s="62"/>
      <c r="BH192" s="62"/>
      <c r="BI192" s="110"/>
      <c r="BJ192" s="426"/>
      <c r="BK192" s="427"/>
      <c r="BL192" s="560"/>
      <c r="BM192" s="109"/>
      <c r="BN192" s="62"/>
      <c r="BO192" s="470"/>
      <c r="BP192" s="64"/>
      <c r="BQ192" s="61"/>
      <c r="BR192" s="65"/>
      <c r="BS192" s="66"/>
      <c r="BT192" s="64"/>
      <c r="BU192" s="61"/>
      <c r="BV192" s="65"/>
      <c r="BW192" s="66"/>
      <c r="BX192" s="431"/>
      <c r="BY192" s="68"/>
      <c r="BZ192" s="69"/>
      <c r="CA192" s="70"/>
      <c r="CB192" s="71"/>
      <c r="CC192" s="72"/>
      <c r="CD192" s="562"/>
      <c r="CE192" s="561"/>
      <c r="CF192" s="73"/>
      <c r="CG192" s="74"/>
      <c r="CH192" s="74"/>
      <c r="CI192" s="74"/>
      <c r="CJ192" s="74"/>
      <c r="CK192" s="74"/>
      <c r="CL192" s="74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31">
        <v>39.9</v>
      </c>
      <c r="DB192" s="31">
        <v>39.9</v>
      </c>
      <c r="DC192" s="31">
        <v>39.9</v>
      </c>
      <c r="DD192" s="31"/>
      <c r="DE192" s="31"/>
    </row>
    <row r="193" spans="1:109" hidden="1">
      <c r="A193" s="177"/>
      <c r="B193" s="187" t="s">
        <v>157</v>
      </c>
      <c r="C193" s="49" t="s">
        <v>54</v>
      </c>
      <c r="D193" s="31"/>
      <c r="E193" s="31"/>
      <c r="F193" s="31"/>
      <c r="G193" s="31"/>
      <c r="H193" s="134"/>
      <c r="I193" s="134"/>
      <c r="J193" s="134"/>
      <c r="K193" s="134"/>
      <c r="L193" s="242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55"/>
      <c r="Z193" s="242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56"/>
      <c r="AL193" s="242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56"/>
      <c r="AX193" s="31"/>
      <c r="AY193" s="31"/>
      <c r="AZ193" s="109"/>
      <c r="BA193" s="62">
        <v>1.43</v>
      </c>
      <c r="BB193" s="62"/>
      <c r="BC193" s="62">
        <v>1.42</v>
      </c>
      <c r="BD193" s="62"/>
      <c r="BE193" s="110"/>
      <c r="BF193" s="109"/>
      <c r="BG193" s="62"/>
      <c r="BH193" s="62"/>
      <c r="BI193" s="110"/>
      <c r="BJ193" s="426"/>
      <c r="BK193" s="427"/>
      <c r="BL193" s="560"/>
      <c r="BM193" s="109"/>
      <c r="BN193" s="62"/>
      <c r="BO193" s="470"/>
      <c r="BP193" s="64"/>
      <c r="BQ193" s="61"/>
      <c r="BR193" s="65"/>
      <c r="BS193" s="66"/>
      <c r="BT193" s="64"/>
      <c r="BU193" s="61"/>
      <c r="BV193" s="65"/>
      <c r="BW193" s="66"/>
      <c r="BX193" s="431"/>
      <c r="BY193" s="68"/>
      <c r="BZ193" s="69"/>
      <c r="CA193" s="70"/>
      <c r="CB193" s="71"/>
      <c r="CC193" s="72"/>
      <c r="CD193" s="562"/>
      <c r="CE193" s="561"/>
      <c r="CF193" s="73"/>
      <c r="CG193" s="74"/>
      <c r="CH193" s="74"/>
      <c r="CI193" s="74"/>
      <c r="CJ193" s="74"/>
      <c r="CK193" s="74"/>
      <c r="CL193" s="74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31"/>
      <c r="DB193" s="31"/>
      <c r="DC193" s="31"/>
      <c r="DD193" s="31"/>
      <c r="DE193" s="31"/>
    </row>
    <row r="194" spans="1:109" hidden="1">
      <c r="A194" s="177"/>
      <c r="B194" s="187" t="s">
        <v>186</v>
      </c>
      <c r="C194" s="49" t="s">
        <v>54</v>
      </c>
      <c r="D194" s="31"/>
      <c r="E194" s="31"/>
      <c r="F194" s="31"/>
      <c r="G194" s="31"/>
      <c r="H194" s="134"/>
      <c r="I194" s="134"/>
      <c r="J194" s="134"/>
      <c r="K194" s="134"/>
      <c r="L194" s="242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55"/>
      <c r="Z194" s="242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56"/>
      <c r="AL194" s="242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56"/>
      <c r="AX194" s="31"/>
      <c r="AY194" s="31"/>
      <c r="AZ194" s="109"/>
      <c r="BA194" s="62"/>
      <c r="BB194" s="62"/>
      <c r="BC194" s="62"/>
      <c r="BD194" s="62"/>
      <c r="BE194" s="110"/>
      <c r="BF194" s="109"/>
      <c r="BG194" s="62"/>
      <c r="BH194" s="62"/>
      <c r="BI194" s="110"/>
      <c r="BJ194" s="426"/>
      <c r="BK194" s="427"/>
      <c r="BL194" s="560"/>
      <c r="BM194" s="109"/>
      <c r="BN194" s="62"/>
      <c r="BO194" s="470"/>
      <c r="BP194" s="64"/>
      <c r="BQ194" s="61"/>
      <c r="BR194" s="65"/>
      <c r="BS194" s="66"/>
      <c r="BT194" s="64"/>
      <c r="BU194" s="61"/>
      <c r="BV194" s="65"/>
      <c r="BW194" s="66"/>
      <c r="BX194" s="431"/>
      <c r="BY194" s="68"/>
      <c r="BZ194" s="69"/>
      <c r="CA194" s="70"/>
      <c r="CB194" s="71"/>
      <c r="CC194" s="72"/>
      <c r="CD194" s="562"/>
      <c r="CE194" s="561"/>
      <c r="CF194" s="73"/>
      <c r="CG194" s="74"/>
      <c r="CH194" s="74"/>
      <c r="CI194" s="74"/>
      <c r="CJ194" s="74"/>
      <c r="CK194" s="74"/>
      <c r="CL194" s="74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31"/>
      <c r="DB194" s="31"/>
      <c r="DC194" s="31"/>
      <c r="DD194" s="31"/>
      <c r="DE194" s="31"/>
    </row>
    <row r="195" spans="1:109" hidden="1">
      <c r="A195" s="177"/>
      <c r="B195" s="187" t="s">
        <v>131</v>
      </c>
      <c r="C195" s="49" t="s">
        <v>54</v>
      </c>
      <c r="D195" s="31">
        <v>3.2</v>
      </c>
      <c r="E195" s="31"/>
      <c r="F195" s="31"/>
      <c r="G195" s="31"/>
      <c r="H195" s="134"/>
      <c r="I195" s="134"/>
      <c r="J195" s="134"/>
      <c r="K195" s="134"/>
      <c r="L195" s="242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55"/>
      <c r="Z195" s="242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56"/>
      <c r="AL195" s="242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56"/>
      <c r="AX195" s="31"/>
      <c r="AY195" s="31"/>
      <c r="AZ195" s="109"/>
      <c r="BA195" s="62"/>
      <c r="BB195" s="62"/>
      <c r="BC195" s="62"/>
      <c r="BD195" s="62"/>
      <c r="BE195" s="110"/>
      <c r="BF195" s="109"/>
      <c r="BG195" s="62"/>
      <c r="BH195" s="62"/>
      <c r="BI195" s="110"/>
      <c r="BJ195" s="426"/>
      <c r="BK195" s="427"/>
      <c r="BL195" s="560"/>
      <c r="BM195" s="109"/>
      <c r="BN195" s="62"/>
      <c r="BO195" s="470"/>
      <c r="BP195" s="64"/>
      <c r="BQ195" s="61"/>
      <c r="BR195" s="65"/>
      <c r="BS195" s="66"/>
      <c r="BT195" s="64"/>
      <c r="BU195" s="61"/>
      <c r="BV195" s="65"/>
      <c r="BW195" s="66"/>
      <c r="BX195" s="431"/>
      <c r="BY195" s="68"/>
      <c r="BZ195" s="69"/>
      <c r="CA195" s="70"/>
      <c r="CB195" s="71"/>
      <c r="CC195" s="72"/>
      <c r="CD195" s="562"/>
      <c r="CE195" s="561"/>
      <c r="CF195" s="73"/>
      <c r="CG195" s="74"/>
      <c r="CH195" s="74"/>
      <c r="CI195" s="74"/>
      <c r="CJ195" s="74"/>
      <c r="CK195" s="74"/>
      <c r="CL195" s="74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31"/>
      <c r="DB195" s="31"/>
      <c r="DC195" s="31"/>
      <c r="DD195" s="31"/>
      <c r="DE195" s="31"/>
    </row>
    <row r="196" spans="1:109" hidden="1">
      <c r="A196" s="177"/>
      <c r="B196" s="187" t="s">
        <v>56</v>
      </c>
      <c r="C196" s="49" t="s">
        <v>54</v>
      </c>
      <c r="D196" s="31"/>
      <c r="E196" s="31"/>
      <c r="F196" s="31"/>
      <c r="G196" s="31"/>
      <c r="H196" s="134"/>
      <c r="I196" s="134"/>
      <c r="J196" s="134"/>
      <c r="K196" s="134"/>
      <c r="L196" s="242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55"/>
      <c r="Z196" s="242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56"/>
      <c r="AL196" s="242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56"/>
      <c r="AX196" s="31"/>
      <c r="AY196" s="31"/>
      <c r="AZ196" s="109"/>
      <c r="BA196" s="62">
        <v>7.7</v>
      </c>
      <c r="BB196" s="62"/>
      <c r="BC196" s="62"/>
      <c r="BD196" s="62"/>
      <c r="BE196" s="110"/>
      <c r="BF196" s="109"/>
      <c r="BG196" s="62"/>
      <c r="BH196" s="62"/>
      <c r="BI196" s="110"/>
      <c r="BJ196" s="426"/>
      <c r="BK196" s="427"/>
      <c r="BL196" s="560"/>
      <c r="BM196" s="109"/>
      <c r="BN196" s="62"/>
      <c r="BO196" s="470"/>
      <c r="BP196" s="64"/>
      <c r="BQ196" s="61"/>
      <c r="BR196" s="65"/>
      <c r="BS196" s="66"/>
      <c r="BT196" s="64"/>
      <c r="BU196" s="61"/>
      <c r="BV196" s="65"/>
      <c r="BW196" s="66"/>
      <c r="BX196" s="431"/>
      <c r="BY196" s="68"/>
      <c r="BZ196" s="69"/>
      <c r="CA196" s="70"/>
      <c r="CB196" s="71"/>
      <c r="CC196" s="72"/>
      <c r="CD196" s="562"/>
      <c r="CE196" s="561"/>
      <c r="CF196" s="73"/>
      <c r="CG196" s="74"/>
      <c r="CH196" s="74"/>
      <c r="CI196" s="74"/>
      <c r="CJ196" s="74"/>
      <c r="CK196" s="74"/>
      <c r="CL196" s="74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31"/>
      <c r="DB196" s="31"/>
      <c r="DC196" s="31"/>
      <c r="DD196" s="31"/>
      <c r="DE196" s="31"/>
    </row>
    <row r="197" spans="1:109" ht="36" hidden="1">
      <c r="A197" s="177"/>
      <c r="B197" s="187" t="s">
        <v>32</v>
      </c>
      <c r="C197" s="49" t="s">
        <v>54</v>
      </c>
      <c r="D197" s="31">
        <v>48</v>
      </c>
      <c r="E197" s="31">
        <v>48</v>
      </c>
      <c r="F197" s="31">
        <v>48</v>
      </c>
      <c r="G197" s="31">
        <v>48</v>
      </c>
      <c r="H197" s="134"/>
      <c r="I197" s="134"/>
      <c r="J197" s="134"/>
      <c r="K197" s="134"/>
      <c r="L197" s="242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55"/>
      <c r="Z197" s="242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56"/>
      <c r="AL197" s="242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56"/>
      <c r="AX197" s="31"/>
      <c r="AY197" s="31">
        <v>68.42</v>
      </c>
      <c r="AZ197" s="109"/>
      <c r="BA197" s="62">
        <v>24.67</v>
      </c>
      <c r="BB197" s="62"/>
      <c r="BC197" s="62">
        <v>16.149999999999999</v>
      </c>
      <c r="BD197" s="62"/>
      <c r="BE197" s="110">
        <v>7.92</v>
      </c>
      <c r="BF197" s="109"/>
      <c r="BG197" s="62"/>
      <c r="BH197" s="62"/>
      <c r="BI197" s="110"/>
      <c r="BJ197" s="426">
        <f>BA197-AZ197</f>
        <v>24.67</v>
      </c>
      <c r="BK197" s="427"/>
      <c r="BL197" s="560"/>
      <c r="BM197" s="109"/>
      <c r="BN197" s="62"/>
      <c r="BO197" s="470"/>
      <c r="BP197" s="64"/>
      <c r="BQ197" s="61"/>
      <c r="BR197" s="65"/>
      <c r="BS197" s="66"/>
      <c r="BT197" s="64"/>
      <c r="BU197" s="61"/>
      <c r="BV197" s="65"/>
      <c r="BW197" s="66"/>
      <c r="BX197" s="431"/>
      <c r="BY197" s="68"/>
      <c r="BZ197" s="69">
        <f>M197+BM197+BQ197+BU197</f>
        <v>0</v>
      </c>
      <c r="CA197" s="70"/>
      <c r="CB197" s="71"/>
      <c r="CC197" s="72">
        <f>BZ197-E197</f>
        <v>-48</v>
      </c>
      <c r="CD197" s="562">
        <v>47.26</v>
      </c>
      <c r="CE197" s="561"/>
      <c r="CF197" s="73"/>
      <c r="CG197" s="74"/>
      <c r="CH197" s="74"/>
      <c r="CI197" s="74"/>
      <c r="CJ197" s="74"/>
      <c r="CK197" s="74"/>
      <c r="CL197" s="74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31">
        <v>48</v>
      </c>
      <c r="DB197" s="31">
        <v>48</v>
      </c>
      <c r="DC197" s="31">
        <v>48</v>
      </c>
      <c r="DD197" s="31">
        <v>57.56</v>
      </c>
      <c r="DE197" s="31">
        <v>48</v>
      </c>
    </row>
    <row r="198" spans="1:109" hidden="1">
      <c r="A198" s="177"/>
      <c r="B198" s="187" t="s">
        <v>246</v>
      </c>
      <c r="C198" s="49" t="s">
        <v>54</v>
      </c>
      <c r="D198" s="31">
        <v>390</v>
      </c>
      <c r="E198" s="31">
        <v>330</v>
      </c>
      <c r="F198" s="31">
        <v>330</v>
      </c>
      <c r="G198" s="31">
        <v>330</v>
      </c>
      <c r="H198" s="134"/>
      <c r="I198" s="134"/>
      <c r="J198" s="134"/>
      <c r="K198" s="134"/>
      <c r="L198" s="242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55"/>
      <c r="Z198" s="242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56"/>
      <c r="AL198" s="242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56"/>
      <c r="AX198" s="31"/>
      <c r="AY198" s="31"/>
      <c r="AZ198" s="109"/>
      <c r="BA198" s="62"/>
      <c r="BB198" s="62"/>
      <c r="BC198" s="62"/>
      <c r="BD198" s="62"/>
      <c r="BE198" s="110"/>
      <c r="BF198" s="109"/>
      <c r="BG198" s="62"/>
      <c r="BH198" s="62"/>
      <c r="BI198" s="110"/>
      <c r="BJ198" s="426"/>
      <c r="BK198" s="427"/>
      <c r="BL198" s="560"/>
      <c r="BM198" s="109"/>
      <c r="BN198" s="62"/>
      <c r="BO198" s="470"/>
      <c r="BP198" s="64"/>
      <c r="BQ198" s="61"/>
      <c r="BR198" s="65"/>
      <c r="BS198" s="66"/>
      <c r="BT198" s="64"/>
      <c r="BU198" s="61"/>
      <c r="BV198" s="65"/>
      <c r="BW198" s="66"/>
      <c r="BX198" s="431"/>
      <c r="BY198" s="68"/>
      <c r="BZ198" s="69"/>
      <c r="CA198" s="70"/>
      <c r="CB198" s="71"/>
      <c r="CC198" s="72"/>
      <c r="CD198" s="562"/>
      <c r="CE198" s="561"/>
      <c r="CF198" s="73"/>
      <c r="CG198" s="74"/>
      <c r="CH198" s="74"/>
      <c r="CI198" s="74"/>
      <c r="CJ198" s="74"/>
      <c r="CK198" s="74"/>
      <c r="CL198" s="74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31">
        <v>330</v>
      </c>
      <c r="DB198" s="31">
        <v>330</v>
      </c>
      <c r="DC198" s="31">
        <v>330</v>
      </c>
      <c r="DD198" s="31"/>
      <c r="DE198" s="31">
        <v>330</v>
      </c>
    </row>
    <row r="199" spans="1:109" hidden="1">
      <c r="A199" s="177"/>
      <c r="B199" s="187" t="s">
        <v>9</v>
      </c>
      <c r="C199" s="49" t="s">
        <v>54</v>
      </c>
      <c r="D199" s="31">
        <v>72</v>
      </c>
      <c r="E199" s="31">
        <v>72</v>
      </c>
      <c r="F199" s="31">
        <v>72</v>
      </c>
      <c r="G199" s="31">
        <v>72</v>
      </c>
      <c r="H199" s="134">
        <v>72</v>
      </c>
      <c r="I199" s="134"/>
      <c r="J199" s="134"/>
      <c r="K199" s="134"/>
      <c r="L199" s="134">
        <f>G199/12</f>
        <v>6</v>
      </c>
      <c r="M199" s="134">
        <v>6</v>
      </c>
      <c r="N199" s="134">
        <f>H199/12</f>
        <v>6</v>
      </c>
      <c r="O199" s="134">
        <v>6</v>
      </c>
      <c r="P199" s="134"/>
      <c r="Q199" s="134"/>
      <c r="R199" s="134"/>
      <c r="S199" s="134"/>
      <c r="T199" s="134"/>
      <c r="U199" s="134"/>
      <c r="V199" s="134"/>
      <c r="W199" s="134"/>
      <c r="X199" s="134">
        <f>O199-N199</f>
        <v>0</v>
      </c>
      <c r="Y199" s="155">
        <f>O199/N199</f>
        <v>1</v>
      </c>
      <c r="Z199" s="134">
        <v>6</v>
      </c>
      <c r="AA199" s="134">
        <v>6</v>
      </c>
      <c r="AB199" s="134">
        <v>6</v>
      </c>
      <c r="AC199" s="134"/>
      <c r="AD199" s="134"/>
      <c r="AE199" s="134"/>
      <c r="AF199" s="134"/>
      <c r="AG199" s="134"/>
      <c r="AH199" s="134"/>
      <c r="AI199" s="134"/>
      <c r="AJ199" s="134">
        <f>AC199-AB199</f>
        <v>-6</v>
      </c>
      <c r="AK199" s="156">
        <f>AC199/AB199</f>
        <v>0</v>
      </c>
      <c r="AL199" s="134">
        <v>6</v>
      </c>
      <c r="AM199" s="134">
        <v>6</v>
      </c>
      <c r="AN199" s="134">
        <v>6</v>
      </c>
      <c r="AO199" s="134"/>
      <c r="AP199" s="134"/>
      <c r="AQ199" s="134"/>
      <c r="AR199" s="134"/>
      <c r="AS199" s="134"/>
      <c r="AT199" s="134"/>
      <c r="AU199" s="134"/>
      <c r="AV199" s="134">
        <f>AO199-AN199</f>
        <v>-6</v>
      </c>
      <c r="AW199" s="156">
        <f>AO199/AN199</f>
        <v>0</v>
      </c>
      <c r="AX199" s="31">
        <f>G199/2</f>
        <v>36</v>
      </c>
      <c r="AY199" s="31">
        <v>71.489999999999995</v>
      </c>
      <c r="AZ199" s="109"/>
      <c r="BA199" s="62">
        <v>40.380000000000003</v>
      </c>
      <c r="BB199" s="62"/>
      <c r="BC199" s="62">
        <v>28.23</v>
      </c>
      <c r="BD199" s="62"/>
      <c r="BE199" s="110">
        <v>2.88</v>
      </c>
      <c r="BF199" s="109">
        <v>0.51</v>
      </c>
      <c r="BG199" s="62"/>
      <c r="BH199" s="62"/>
      <c r="BI199" s="110"/>
      <c r="BJ199" s="426">
        <f>BA199-AZ199</f>
        <v>40.380000000000003</v>
      </c>
      <c r="BK199" s="427" t="e">
        <f>BA199/AZ199</f>
        <v>#DIV/0!</v>
      </c>
      <c r="BL199" s="560"/>
      <c r="BM199" s="109">
        <v>6</v>
      </c>
      <c r="BN199" s="62"/>
      <c r="BO199" s="470"/>
      <c r="BP199" s="64"/>
      <c r="BQ199" s="61"/>
      <c r="BR199" s="65"/>
      <c r="BS199" s="66"/>
      <c r="BT199" s="64"/>
      <c r="BU199" s="61"/>
      <c r="BV199" s="65"/>
      <c r="BW199" s="66"/>
      <c r="BX199" s="431"/>
      <c r="BY199" s="68"/>
      <c r="BZ199" s="69">
        <f>M199+BM199+BQ199+BU199</f>
        <v>12</v>
      </c>
      <c r="CA199" s="70"/>
      <c r="CB199" s="71"/>
      <c r="CC199" s="72">
        <f>BZ199-E199</f>
        <v>-60</v>
      </c>
      <c r="CD199" s="562">
        <v>72</v>
      </c>
      <c r="CE199" s="561"/>
      <c r="CF199" s="73"/>
      <c r="CG199" s="74"/>
      <c r="CH199" s="74"/>
      <c r="CI199" s="74"/>
      <c r="CJ199" s="74"/>
      <c r="CK199" s="74"/>
      <c r="CL199" s="74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31">
        <v>72</v>
      </c>
      <c r="DB199" s="31">
        <v>72</v>
      </c>
      <c r="DC199" s="31">
        <v>72</v>
      </c>
      <c r="DD199" s="31">
        <v>72</v>
      </c>
      <c r="DE199" s="31">
        <v>72</v>
      </c>
    </row>
    <row r="200" spans="1:109" ht="24" hidden="1">
      <c r="A200" s="177"/>
      <c r="B200" s="187" t="s">
        <v>134</v>
      </c>
      <c r="C200" s="49" t="s">
        <v>54</v>
      </c>
      <c r="D200" s="31">
        <v>14.5</v>
      </c>
      <c r="E200" s="31">
        <v>14.54</v>
      </c>
      <c r="F200" s="31">
        <v>14.54</v>
      </c>
      <c r="G200" s="31">
        <v>14.54</v>
      </c>
      <c r="H200" s="134"/>
      <c r="I200" s="134"/>
      <c r="J200" s="134"/>
      <c r="K200" s="134"/>
      <c r="L200" s="242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55"/>
      <c r="Z200" s="242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56"/>
      <c r="AL200" s="242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56"/>
      <c r="AX200" s="31"/>
      <c r="AY200" s="31"/>
      <c r="AZ200" s="109"/>
      <c r="BA200" s="62">
        <v>7.45</v>
      </c>
      <c r="BB200" s="62"/>
      <c r="BC200" s="62">
        <v>6.22</v>
      </c>
      <c r="BD200" s="62"/>
      <c r="BE200" s="110">
        <v>0.87</v>
      </c>
      <c r="BF200" s="109"/>
      <c r="BG200" s="62"/>
      <c r="BH200" s="62"/>
      <c r="BI200" s="110"/>
      <c r="BJ200" s="426"/>
      <c r="BK200" s="427"/>
      <c r="BL200" s="560"/>
      <c r="BM200" s="109"/>
      <c r="BN200" s="62"/>
      <c r="BO200" s="470"/>
      <c r="BP200" s="64"/>
      <c r="BQ200" s="61"/>
      <c r="BR200" s="65"/>
      <c r="BS200" s="66"/>
      <c r="BT200" s="64"/>
      <c r="BU200" s="61"/>
      <c r="BV200" s="65"/>
      <c r="BW200" s="66"/>
      <c r="BX200" s="431"/>
      <c r="BY200" s="68"/>
      <c r="BZ200" s="69"/>
      <c r="CA200" s="70"/>
      <c r="CB200" s="71"/>
      <c r="CC200" s="72"/>
      <c r="CD200" s="562"/>
      <c r="CE200" s="561"/>
      <c r="CF200" s="73"/>
      <c r="CG200" s="74"/>
      <c r="CH200" s="74"/>
      <c r="CI200" s="74"/>
      <c r="CJ200" s="74"/>
      <c r="CK200" s="74"/>
      <c r="CL200" s="74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31">
        <v>14.54</v>
      </c>
      <c r="DB200" s="31">
        <v>14.54</v>
      </c>
      <c r="DC200" s="31">
        <v>14.54</v>
      </c>
      <c r="DD200" s="31">
        <v>10.71</v>
      </c>
      <c r="DE200" s="31">
        <v>14.54</v>
      </c>
    </row>
    <row r="201" spans="1:109" ht="24" hidden="1">
      <c r="A201" s="177"/>
      <c r="B201" s="187" t="s">
        <v>201</v>
      </c>
      <c r="C201" s="49" t="s">
        <v>54</v>
      </c>
      <c r="D201" s="31"/>
      <c r="E201" s="31">
        <v>4</v>
      </c>
      <c r="F201" s="31">
        <v>4</v>
      </c>
      <c r="G201" s="31">
        <v>4</v>
      </c>
      <c r="H201" s="134"/>
      <c r="I201" s="134"/>
      <c r="J201" s="134"/>
      <c r="K201" s="134"/>
      <c r="L201" s="242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55"/>
      <c r="Z201" s="242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56"/>
      <c r="AL201" s="242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56"/>
      <c r="AX201" s="31"/>
      <c r="AY201" s="31">
        <v>6.5</v>
      </c>
      <c r="AZ201" s="109"/>
      <c r="BA201" s="62">
        <v>3.8</v>
      </c>
      <c r="BB201" s="62"/>
      <c r="BC201" s="62"/>
      <c r="BD201" s="62"/>
      <c r="BE201" s="110"/>
      <c r="BF201" s="109"/>
      <c r="BG201" s="62"/>
      <c r="BH201" s="62"/>
      <c r="BI201" s="110"/>
      <c r="BJ201" s="426"/>
      <c r="BK201" s="427"/>
      <c r="BL201" s="560"/>
      <c r="BM201" s="109"/>
      <c r="BN201" s="62"/>
      <c r="BO201" s="470"/>
      <c r="BP201" s="64"/>
      <c r="BQ201" s="61"/>
      <c r="BR201" s="65"/>
      <c r="BS201" s="66"/>
      <c r="BT201" s="64"/>
      <c r="BU201" s="61"/>
      <c r="BV201" s="65"/>
      <c r="BW201" s="66"/>
      <c r="BX201" s="431"/>
      <c r="BY201" s="68"/>
      <c r="BZ201" s="69"/>
      <c r="CA201" s="70"/>
      <c r="CB201" s="71"/>
      <c r="CC201" s="72"/>
      <c r="CD201" s="562"/>
      <c r="CE201" s="561"/>
      <c r="CF201" s="73"/>
      <c r="CG201" s="74"/>
      <c r="CH201" s="74"/>
      <c r="CI201" s="74"/>
      <c r="CJ201" s="74"/>
      <c r="CK201" s="74"/>
      <c r="CL201" s="74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31">
        <v>4</v>
      </c>
      <c r="DB201" s="31">
        <v>4</v>
      </c>
      <c r="DC201" s="31">
        <v>4</v>
      </c>
      <c r="DD201" s="31"/>
      <c r="DE201" s="31">
        <v>4</v>
      </c>
    </row>
    <row r="202" spans="1:109" hidden="1">
      <c r="A202" s="177"/>
      <c r="B202" s="187" t="s">
        <v>67</v>
      </c>
      <c r="C202" s="49" t="s">
        <v>54</v>
      </c>
      <c r="D202" s="31">
        <v>8</v>
      </c>
      <c r="E202" s="31">
        <v>8</v>
      </c>
      <c r="F202" s="31">
        <v>8</v>
      </c>
      <c r="G202" s="31">
        <v>8</v>
      </c>
      <c r="H202" s="134">
        <v>3</v>
      </c>
      <c r="I202" s="134"/>
      <c r="J202" s="134"/>
      <c r="K202" s="134"/>
      <c r="L202" s="134">
        <f>G202/12</f>
        <v>0.66666666666666663</v>
      </c>
      <c r="M202" s="134">
        <v>5.3</v>
      </c>
      <c r="N202" s="134">
        <f>H202/12</f>
        <v>0.25</v>
      </c>
      <c r="O202" s="134">
        <v>5.3</v>
      </c>
      <c r="P202" s="134"/>
      <c r="Q202" s="134"/>
      <c r="R202" s="134"/>
      <c r="S202" s="134"/>
      <c r="T202" s="134"/>
      <c r="U202" s="134"/>
      <c r="V202" s="134"/>
      <c r="W202" s="134"/>
      <c r="X202" s="134">
        <f>O202-N202</f>
        <v>5.05</v>
      </c>
      <c r="Y202" s="155">
        <f>O202/N202</f>
        <v>21.2</v>
      </c>
      <c r="Z202" s="134">
        <v>0.25</v>
      </c>
      <c r="AA202" s="134"/>
      <c r="AB202" s="134">
        <v>0.25</v>
      </c>
      <c r="AC202" s="134"/>
      <c r="AD202" s="134"/>
      <c r="AE202" s="134"/>
      <c r="AF202" s="134"/>
      <c r="AG202" s="134"/>
      <c r="AH202" s="134"/>
      <c r="AI202" s="134"/>
      <c r="AJ202" s="134">
        <f>AC202-AB202</f>
        <v>-0.25</v>
      </c>
      <c r="AK202" s="156">
        <f>AC202/AB202</f>
        <v>0</v>
      </c>
      <c r="AL202" s="134">
        <v>0.25</v>
      </c>
      <c r="AM202" s="134"/>
      <c r="AN202" s="134">
        <v>0.25</v>
      </c>
      <c r="AO202" s="134"/>
      <c r="AP202" s="134"/>
      <c r="AQ202" s="134"/>
      <c r="AR202" s="134"/>
      <c r="AS202" s="134"/>
      <c r="AT202" s="134"/>
      <c r="AU202" s="134"/>
      <c r="AV202" s="134">
        <f>AO202-AN202</f>
        <v>-0.25</v>
      </c>
      <c r="AW202" s="156">
        <f>AO202/AN202</f>
        <v>0</v>
      </c>
      <c r="AX202" s="31">
        <f>G202/2</f>
        <v>4</v>
      </c>
      <c r="AY202" s="31"/>
      <c r="AZ202" s="109"/>
      <c r="BA202" s="62"/>
      <c r="BB202" s="62"/>
      <c r="BC202" s="62"/>
      <c r="BD202" s="62"/>
      <c r="BE202" s="110"/>
      <c r="BF202" s="109"/>
      <c r="BG202" s="62"/>
      <c r="BH202" s="62"/>
      <c r="BI202" s="110"/>
      <c r="BJ202" s="426">
        <f>BA202-AZ202</f>
        <v>0</v>
      </c>
      <c r="BK202" s="427" t="e">
        <f>BA202/AZ202</f>
        <v>#DIV/0!</v>
      </c>
      <c r="BL202" s="560"/>
      <c r="BM202" s="109"/>
      <c r="BN202" s="62"/>
      <c r="BO202" s="470"/>
      <c r="BP202" s="64"/>
      <c r="BQ202" s="61"/>
      <c r="BR202" s="65"/>
      <c r="BS202" s="66"/>
      <c r="BT202" s="64"/>
      <c r="BU202" s="61"/>
      <c r="BV202" s="65"/>
      <c r="BW202" s="66"/>
      <c r="BX202" s="431"/>
      <c r="BY202" s="68"/>
      <c r="BZ202" s="69">
        <f>M202+BM202+BQ202+BU202</f>
        <v>5.3</v>
      </c>
      <c r="CA202" s="70"/>
      <c r="CB202" s="71"/>
      <c r="CC202" s="72">
        <f>BZ202-E202</f>
        <v>-2.7</v>
      </c>
      <c r="CD202" s="562">
        <v>7.5</v>
      </c>
      <c r="CE202" s="561"/>
      <c r="CF202" s="73"/>
      <c r="CG202" s="74"/>
      <c r="CH202" s="74"/>
      <c r="CI202" s="74"/>
      <c r="CJ202" s="74"/>
      <c r="CK202" s="74"/>
      <c r="CL202" s="74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31">
        <v>8</v>
      </c>
      <c r="DB202" s="31">
        <v>8</v>
      </c>
      <c r="DC202" s="31">
        <v>8</v>
      </c>
      <c r="DD202" s="31">
        <v>6.4</v>
      </c>
      <c r="DE202" s="31">
        <v>8</v>
      </c>
    </row>
    <row r="203" spans="1:109" hidden="1">
      <c r="A203" s="177"/>
      <c r="B203" s="187" t="s">
        <v>314</v>
      </c>
      <c r="C203" s="49" t="s">
        <v>54</v>
      </c>
      <c r="D203" s="31"/>
      <c r="E203" s="31"/>
      <c r="F203" s="31"/>
      <c r="G203" s="31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55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56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56"/>
      <c r="AX203" s="31"/>
      <c r="AY203" s="31">
        <v>0.82</v>
      </c>
      <c r="AZ203" s="109"/>
      <c r="BA203" s="62"/>
      <c r="BB203" s="62"/>
      <c r="BC203" s="62"/>
      <c r="BD203" s="62"/>
      <c r="BE203" s="110"/>
      <c r="BF203" s="109"/>
      <c r="BG203" s="62"/>
      <c r="BH203" s="62"/>
      <c r="BI203" s="110"/>
      <c r="BJ203" s="426"/>
      <c r="BK203" s="427"/>
      <c r="BL203" s="560"/>
      <c r="BM203" s="109"/>
      <c r="BN203" s="62"/>
      <c r="BO203" s="470"/>
      <c r="BP203" s="64"/>
      <c r="BQ203" s="61"/>
      <c r="BR203" s="65"/>
      <c r="BS203" s="66"/>
      <c r="BT203" s="64"/>
      <c r="BU203" s="61"/>
      <c r="BV203" s="65"/>
      <c r="BW203" s="66"/>
      <c r="BX203" s="431"/>
      <c r="BY203" s="68"/>
      <c r="BZ203" s="69"/>
      <c r="CA203" s="70"/>
      <c r="CB203" s="71"/>
      <c r="CC203" s="72"/>
      <c r="CD203" s="562"/>
      <c r="CE203" s="561"/>
      <c r="CF203" s="73"/>
      <c r="CG203" s="74"/>
      <c r="CH203" s="74"/>
      <c r="CI203" s="74"/>
      <c r="CJ203" s="74"/>
      <c r="CK203" s="74"/>
      <c r="CL203" s="74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31"/>
      <c r="DB203" s="31"/>
      <c r="DC203" s="31"/>
      <c r="DD203" s="31"/>
      <c r="DE203" s="31"/>
    </row>
    <row r="204" spans="1:109" hidden="1">
      <c r="A204" s="177"/>
      <c r="B204" s="187" t="s">
        <v>315</v>
      </c>
      <c r="C204" s="49" t="s">
        <v>54</v>
      </c>
      <c r="D204" s="31"/>
      <c r="E204" s="31"/>
      <c r="F204" s="31"/>
      <c r="G204" s="31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55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56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56"/>
      <c r="AX204" s="31"/>
      <c r="AY204" s="31">
        <v>9.9600000000000009</v>
      </c>
      <c r="AZ204" s="109"/>
      <c r="BA204" s="62"/>
      <c r="BB204" s="62"/>
      <c r="BC204" s="62"/>
      <c r="BD204" s="62"/>
      <c r="BE204" s="110"/>
      <c r="BF204" s="109"/>
      <c r="BG204" s="62"/>
      <c r="BH204" s="62"/>
      <c r="BI204" s="110"/>
      <c r="BJ204" s="426"/>
      <c r="BK204" s="427"/>
      <c r="BL204" s="560"/>
      <c r="BM204" s="109"/>
      <c r="BN204" s="62"/>
      <c r="BO204" s="470"/>
      <c r="BP204" s="64"/>
      <c r="BQ204" s="61"/>
      <c r="BR204" s="65"/>
      <c r="BS204" s="66"/>
      <c r="BT204" s="64"/>
      <c r="BU204" s="61"/>
      <c r="BV204" s="65"/>
      <c r="BW204" s="66"/>
      <c r="BX204" s="431"/>
      <c r="BY204" s="68"/>
      <c r="BZ204" s="69"/>
      <c r="CA204" s="70"/>
      <c r="CB204" s="71"/>
      <c r="CC204" s="72"/>
      <c r="CD204" s="562"/>
      <c r="CE204" s="561"/>
      <c r="CF204" s="73"/>
      <c r="CG204" s="74"/>
      <c r="CH204" s="74"/>
      <c r="CI204" s="74"/>
      <c r="CJ204" s="74"/>
      <c r="CK204" s="74"/>
      <c r="CL204" s="74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31"/>
      <c r="DB204" s="31"/>
      <c r="DC204" s="31"/>
      <c r="DD204" s="31"/>
      <c r="DE204" s="31"/>
    </row>
    <row r="205" spans="1:109" hidden="1">
      <c r="A205" s="177"/>
      <c r="B205" s="187" t="s">
        <v>281</v>
      </c>
      <c r="C205" s="49" t="s">
        <v>54</v>
      </c>
      <c r="D205" s="31">
        <v>25</v>
      </c>
      <c r="E205" s="31">
        <v>25</v>
      </c>
      <c r="F205" s="31">
        <v>25</v>
      </c>
      <c r="G205" s="31">
        <v>25</v>
      </c>
      <c r="H205" s="134"/>
      <c r="I205" s="134"/>
      <c r="J205" s="134"/>
      <c r="K205" s="134"/>
      <c r="L205" s="242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55"/>
      <c r="Z205" s="242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56"/>
      <c r="AL205" s="242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56"/>
      <c r="AX205" s="31"/>
      <c r="AY205" s="31">
        <v>18.7</v>
      </c>
      <c r="AZ205" s="109"/>
      <c r="BA205" s="62">
        <v>12.5</v>
      </c>
      <c r="BB205" s="62"/>
      <c r="BC205" s="62">
        <v>12.5</v>
      </c>
      <c r="BD205" s="62"/>
      <c r="BE205" s="110">
        <v>14</v>
      </c>
      <c r="BF205" s="109"/>
      <c r="BG205" s="62"/>
      <c r="BH205" s="62"/>
      <c r="BI205" s="110"/>
      <c r="BJ205" s="426">
        <f>BA205-AZ205</f>
        <v>12.5</v>
      </c>
      <c r="BK205" s="427"/>
      <c r="BL205" s="560"/>
      <c r="BM205" s="109"/>
      <c r="BN205" s="62"/>
      <c r="BO205" s="470"/>
      <c r="BP205" s="64"/>
      <c r="BQ205" s="61"/>
      <c r="BR205" s="65"/>
      <c r="BS205" s="66"/>
      <c r="BT205" s="64"/>
      <c r="BU205" s="61"/>
      <c r="BV205" s="65"/>
      <c r="BW205" s="66"/>
      <c r="BX205" s="431"/>
      <c r="BY205" s="68"/>
      <c r="BZ205" s="69">
        <f>M205+BM205+BQ205+BU205</f>
        <v>0</v>
      </c>
      <c r="CA205" s="70"/>
      <c r="CB205" s="71"/>
      <c r="CC205" s="72">
        <f>BZ205-E205</f>
        <v>-25</v>
      </c>
      <c r="CD205" s="562">
        <v>8.6</v>
      </c>
      <c r="CE205" s="561"/>
      <c r="CF205" s="73"/>
      <c r="CG205" s="74"/>
      <c r="CH205" s="74"/>
      <c r="CI205" s="74"/>
      <c r="CJ205" s="74"/>
      <c r="CK205" s="74"/>
      <c r="CL205" s="74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31">
        <v>25</v>
      </c>
      <c r="DB205" s="31">
        <v>25</v>
      </c>
      <c r="DC205" s="31">
        <v>25</v>
      </c>
      <c r="DD205" s="31">
        <v>44.58</v>
      </c>
      <c r="DE205" s="31">
        <v>25</v>
      </c>
    </row>
    <row r="206" spans="1:109" ht="24" hidden="1">
      <c r="A206" s="177"/>
      <c r="B206" s="187" t="s">
        <v>97</v>
      </c>
      <c r="C206" s="49" t="s">
        <v>54</v>
      </c>
      <c r="D206" s="31"/>
      <c r="E206" s="31"/>
      <c r="F206" s="31"/>
      <c r="G206" s="31"/>
      <c r="H206" s="134"/>
      <c r="I206" s="134"/>
      <c r="J206" s="134"/>
      <c r="K206" s="134"/>
      <c r="L206" s="242"/>
      <c r="M206" s="245">
        <v>25</v>
      </c>
      <c r="N206" s="245"/>
      <c r="O206" s="245"/>
      <c r="P206" s="245"/>
      <c r="Q206" s="245"/>
      <c r="R206" s="245"/>
      <c r="S206" s="245"/>
      <c r="T206" s="245"/>
      <c r="U206" s="245">
        <v>25</v>
      </c>
      <c r="V206" s="245"/>
      <c r="W206" s="245"/>
      <c r="X206" s="134"/>
      <c r="Y206" s="155"/>
      <c r="Z206" s="242"/>
      <c r="AA206" s="245"/>
      <c r="AB206" s="245"/>
      <c r="AC206" s="245"/>
      <c r="AD206" s="245"/>
      <c r="AE206" s="245"/>
      <c r="AF206" s="245"/>
      <c r="AG206" s="245"/>
      <c r="AH206" s="245"/>
      <c r="AI206" s="245"/>
      <c r="AJ206" s="134"/>
      <c r="AK206" s="156"/>
      <c r="AL206" s="242"/>
      <c r="AM206" s="245"/>
      <c r="AN206" s="245"/>
      <c r="AO206" s="245"/>
      <c r="AP206" s="245"/>
      <c r="AQ206" s="245"/>
      <c r="AR206" s="245"/>
      <c r="AS206" s="245"/>
      <c r="AT206" s="245"/>
      <c r="AU206" s="245"/>
      <c r="AV206" s="134"/>
      <c r="AW206" s="156"/>
      <c r="AX206" s="31"/>
      <c r="AY206" s="31"/>
      <c r="AZ206" s="109"/>
      <c r="BA206" s="62"/>
      <c r="BB206" s="7"/>
      <c r="BC206" s="62"/>
      <c r="BD206" s="62"/>
      <c r="BE206" s="110"/>
      <c r="BF206" s="109"/>
      <c r="BG206" s="62">
        <v>25</v>
      </c>
      <c r="BH206" s="7"/>
      <c r="BI206" s="8"/>
      <c r="BJ206" s="426">
        <f>BA206-AZ206</f>
        <v>0</v>
      </c>
      <c r="BK206" s="427"/>
      <c r="BL206" s="560"/>
      <c r="BM206" s="109"/>
      <c r="BN206" s="62"/>
      <c r="BO206" s="470"/>
      <c r="BP206" s="64"/>
      <c r="BQ206" s="61"/>
      <c r="BR206" s="65"/>
      <c r="BS206" s="66"/>
      <c r="BT206" s="64"/>
      <c r="BU206" s="61"/>
      <c r="BV206" s="65"/>
      <c r="BW206" s="66"/>
      <c r="BX206" s="431"/>
      <c r="BY206" s="68"/>
      <c r="BZ206" s="69"/>
      <c r="CA206" s="70"/>
      <c r="CB206" s="71"/>
      <c r="CC206" s="72"/>
      <c r="CD206" s="562"/>
      <c r="CE206" s="561"/>
      <c r="CF206" s="73"/>
      <c r="CG206" s="74"/>
      <c r="CH206" s="74"/>
      <c r="CI206" s="74"/>
      <c r="CJ206" s="74"/>
      <c r="CK206" s="74"/>
      <c r="CL206" s="74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31"/>
      <c r="DB206" s="31"/>
      <c r="DC206" s="31"/>
      <c r="DD206" s="31"/>
      <c r="DE206" s="31"/>
    </row>
    <row r="207" spans="1:109" hidden="1">
      <c r="A207" s="177"/>
      <c r="B207" s="187" t="s">
        <v>104</v>
      </c>
      <c r="C207" s="49" t="s">
        <v>54</v>
      </c>
      <c r="D207" s="31">
        <v>79.760000000000005</v>
      </c>
      <c r="E207" s="31"/>
      <c r="F207" s="31"/>
      <c r="G207" s="31"/>
      <c r="H207" s="134">
        <v>36.15</v>
      </c>
      <c r="I207" s="134"/>
      <c r="J207" s="134"/>
      <c r="K207" s="134"/>
      <c r="L207" s="134">
        <f>G207/12</f>
        <v>0</v>
      </c>
      <c r="M207" s="245"/>
      <c r="N207" s="134">
        <f>H207/12</f>
        <v>3.0124999999999997</v>
      </c>
      <c r="O207" s="245"/>
      <c r="P207" s="245"/>
      <c r="Q207" s="245"/>
      <c r="R207" s="245"/>
      <c r="S207" s="245"/>
      <c r="T207" s="245"/>
      <c r="U207" s="245"/>
      <c r="V207" s="245"/>
      <c r="W207" s="245"/>
      <c r="X207" s="134">
        <f>O207-N207</f>
        <v>-3.0124999999999997</v>
      </c>
      <c r="Y207" s="155">
        <f>O207/N207</f>
        <v>0</v>
      </c>
      <c r="Z207" s="134">
        <v>3.01</v>
      </c>
      <c r="AA207" s="245"/>
      <c r="AB207" s="134">
        <v>3.01</v>
      </c>
      <c r="AC207" s="245"/>
      <c r="AD207" s="245"/>
      <c r="AE207" s="245"/>
      <c r="AF207" s="245"/>
      <c r="AG207" s="245"/>
      <c r="AH207" s="245"/>
      <c r="AI207" s="245"/>
      <c r="AJ207" s="134">
        <f>AC207-AB207</f>
        <v>-3.01</v>
      </c>
      <c r="AK207" s="156">
        <f>AC207/AB207</f>
        <v>0</v>
      </c>
      <c r="AL207" s="134">
        <v>3.01</v>
      </c>
      <c r="AM207" s="245"/>
      <c r="AN207" s="134">
        <v>3.01</v>
      </c>
      <c r="AO207" s="245"/>
      <c r="AP207" s="245"/>
      <c r="AQ207" s="245"/>
      <c r="AR207" s="245"/>
      <c r="AS207" s="245"/>
      <c r="AT207" s="245"/>
      <c r="AU207" s="245"/>
      <c r="AV207" s="134">
        <f>AO207-AN207</f>
        <v>-3.01</v>
      </c>
      <c r="AW207" s="156">
        <f>AO207/AN207</f>
        <v>0</v>
      </c>
      <c r="AX207" s="31">
        <f>G207/2</f>
        <v>0</v>
      </c>
      <c r="AY207" s="31"/>
      <c r="AZ207" s="109"/>
      <c r="BA207" s="62"/>
      <c r="BB207" s="7"/>
      <c r="BC207" s="62"/>
      <c r="BD207" s="62"/>
      <c r="BE207" s="110"/>
      <c r="BF207" s="109"/>
      <c r="BG207" s="62"/>
      <c r="BH207" s="7"/>
      <c r="BI207" s="8"/>
      <c r="BJ207" s="426">
        <f>BA207-AZ207</f>
        <v>0</v>
      </c>
      <c r="BK207" s="427" t="e">
        <f>BA207/AZ207</f>
        <v>#DIV/0!</v>
      </c>
      <c r="BL207" s="560"/>
      <c r="BM207" s="109"/>
      <c r="BN207" s="62"/>
      <c r="BO207" s="470"/>
      <c r="BP207" s="64"/>
      <c r="BQ207" s="61"/>
      <c r="BR207" s="65"/>
      <c r="BS207" s="66"/>
      <c r="BT207" s="64"/>
      <c r="BU207" s="61"/>
      <c r="BV207" s="65"/>
      <c r="BW207" s="66"/>
      <c r="BX207" s="431"/>
      <c r="BY207" s="68"/>
      <c r="BZ207" s="69"/>
      <c r="CA207" s="70"/>
      <c r="CB207" s="71"/>
      <c r="CC207" s="72"/>
      <c r="CD207" s="562"/>
      <c r="CE207" s="561"/>
      <c r="CF207" s="73"/>
      <c r="CG207" s="74"/>
      <c r="CH207" s="74"/>
      <c r="CI207" s="74"/>
      <c r="CJ207" s="74"/>
      <c r="CK207" s="74"/>
      <c r="CL207" s="74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31"/>
      <c r="DB207" s="31"/>
      <c r="DC207" s="31"/>
      <c r="DD207" s="31"/>
      <c r="DE207" s="31"/>
    </row>
    <row r="208" spans="1:109" hidden="1">
      <c r="A208" s="177"/>
      <c r="B208" s="187" t="s">
        <v>183</v>
      </c>
      <c r="C208" s="49" t="s">
        <v>54</v>
      </c>
      <c r="D208" s="31">
        <v>192</v>
      </c>
      <c r="E208" s="31">
        <v>204</v>
      </c>
      <c r="F208" s="31"/>
      <c r="G208" s="31"/>
      <c r="H208" s="134"/>
      <c r="I208" s="134"/>
      <c r="J208" s="134"/>
      <c r="K208" s="134"/>
      <c r="L208" s="134"/>
      <c r="M208" s="245"/>
      <c r="N208" s="134"/>
      <c r="O208" s="245"/>
      <c r="P208" s="245"/>
      <c r="Q208" s="245"/>
      <c r="R208" s="245"/>
      <c r="S208" s="245"/>
      <c r="T208" s="245"/>
      <c r="U208" s="245"/>
      <c r="V208" s="245"/>
      <c r="W208" s="245"/>
      <c r="X208" s="134"/>
      <c r="Y208" s="155"/>
      <c r="Z208" s="134"/>
      <c r="AA208" s="245"/>
      <c r="AB208" s="134"/>
      <c r="AC208" s="245"/>
      <c r="AD208" s="245"/>
      <c r="AE208" s="245"/>
      <c r="AF208" s="245"/>
      <c r="AG208" s="245"/>
      <c r="AH208" s="245"/>
      <c r="AI208" s="245"/>
      <c r="AJ208" s="134"/>
      <c r="AK208" s="156"/>
      <c r="AL208" s="134"/>
      <c r="AM208" s="245"/>
      <c r="AN208" s="134"/>
      <c r="AO208" s="245"/>
      <c r="AP208" s="245"/>
      <c r="AQ208" s="245"/>
      <c r="AR208" s="245"/>
      <c r="AS208" s="245"/>
      <c r="AT208" s="245"/>
      <c r="AU208" s="245"/>
      <c r="AV208" s="134"/>
      <c r="AW208" s="156"/>
      <c r="AX208" s="31"/>
      <c r="AY208" s="31"/>
      <c r="AZ208" s="109"/>
      <c r="BA208" s="62">
        <v>31.11</v>
      </c>
      <c r="BB208" s="7"/>
      <c r="BC208" s="62">
        <v>13.13</v>
      </c>
      <c r="BD208" s="62"/>
      <c r="BE208" s="110">
        <v>2.86</v>
      </c>
      <c r="BF208" s="109"/>
      <c r="BG208" s="62"/>
      <c r="BH208" s="7"/>
      <c r="BI208" s="8"/>
      <c r="BJ208" s="426"/>
      <c r="BK208" s="427"/>
      <c r="BL208" s="560"/>
      <c r="BM208" s="109"/>
      <c r="BN208" s="62"/>
      <c r="BO208" s="470"/>
      <c r="BP208" s="64"/>
      <c r="BQ208" s="61"/>
      <c r="BR208" s="65"/>
      <c r="BS208" s="66"/>
      <c r="BT208" s="64"/>
      <c r="BU208" s="61"/>
      <c r="BV208" s="65"/>
      <c r="BW208" s="66"/>
      <c r="BX208" s="431"/>
      <c r="BY208" s="68"/>
      <c r="BZ208" s="69"/>
      <c r="CA208" s="70"/>
      <c r="CB208" s="71"/>
      <c r="CC208" s="72"/>
      <c r="CD208" s="562"/>
      <c r="CE208" s="561"/>
      <c r="CF208" s="73"/>
      <c r="CG208" s="74"/>
      <c r="CH208" s="74"/>
      <c r="CI208" s="74"/>
      <c r="CJ208" s="74"/>
      <c r="CK208" s="74"/>
      <c r="CL208" s="74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31">
        <v>204</v>
      </c>
      <c r="DB208" s="31"/>
      <c r="DC208" s="31"/>
      <c r="DD208" s="31"/>
      <c r="DE208" s="31"/>
    </row>
    <row r="209" spans="1:110" hidden="1">
      <c r="A209" s="177"/>
      <c r="B209" s="187" t="s">
        <v>66</v>
      </c>
      <c r="C209" s="49" t="s">
        <v>54</v>
      </c>
      <c r="D209" s="31"/>
      <c r="E209" s="31"/>
      <c r="F209" s="31"/>
      <c r="G209" s="31"/>
      <c r="H209" s="134"/>
      <c r="I209" s="134"/>
      <c r="J209" s="134"/>
      <c r="K209" s="134"/>
      <c r="L209" s="242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134"/>
      <c r="Y209" s="155"/>
      <c r="Z209" s="242"/>
      <c r="AA209" s="245"/>
      <c r="AB209" s="245"/>
      <c r="AC209" s="245"/>
      <c r="AD209" s="245"/>
      <c r="AE209" s="245"/>
      <c r="AF209" s="245"/>
      <c r="AG209" s="245"/>
      <c r="AH209" s="245"/>
      <c r="AI209" s="245"/>
      <c r="AJ209" s="134"/>
      <c r="AK209" s="156"/>
      <c r="AL209" s="242"/>
      <c r="AM209" s="245"/>
      <c r="AN209" s="245"/>
      <c r="AO209" s="245"/>
      <c r="AP209" s="245"/>
      <c r="AQ209" s="245"/>
      <c r="AR209" s="245"/>
      <c r="AS209" s="245"/>
      <c r="AT209" s="245"/>
      <c r="AU209" s="245"/>
      <c r="AV209" s="134"/>
      <c r="AW209" s="156"/>
      <c r="AX209" s="31"/>
      <c r="AY209" s="31"/>
      <c r="AZ209" s="109"/>
      <c r="BA209" s="62"/>
      <c r="BB209" s="7"/>
      <c r="BC209" s="62"/>
      <c r="BD209" s="62"/>
      <c r="BE209" s="110"/>
      <c r="BF209" s="109"/>
      <c r="BG209" s="62"/>
      <c r="BH209" s="7"/>
      <c r="BI209" s="8"/>
      <c r="BJ209" s="426"/>
      <c r="BK209" s="427"/>
      <c r="BL209" s="560"/>
      <c r="BM209" s="109"/>
      <c r="BN209" s="62"/>
      <c r="BO209" s="470"/>
      <c r="BP209" s="64"/>
      <c r="BQ209" s="61"/>
      <c r="BR209" s="65"/>
      <c r="BS209" s="66"/>
      <c r="BT209" s="64"/>
      <c r="BU209" s="61"/>
      <c r="BV209" s="65"/>
      <c r="BW209" s="66"/>
      <c r="BX209" s="431"/>
      <c r="BY209" s="68"/>
      <c r="BZ209" s="69"/>
      <c r="CA209" s="70"/>
      <c r="CB209" s="71"/>
      <c r="CC209" s="72"/>
      <c r="CD209" s="562"/>
      <c r="CE209" s="561"/>
      <c r="CF209" s="73"/>
      <c r="CG209" s="74"/>
      <c r="CH209" s="74"/>
      <c r="CI209" s="74"/>
      <c r="CJ209" s="74"/>
      <c r="CK209" s="74"/>
      <c r="CL209" s="74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31"/>
      <c r="DB209" s="31"/>
      <c r="DC209" s="31"/>
      <c r="DD209" s="31"/>
      <c r="DE209" s="31"/>
    </row>
    <row r="210" spans="1:110" hidden="1">
      <c r="A210" s="177"/>
      <c r="B210" s="187" t="s">
        <v>40</v>
      </c>
      <c r="C210" s="49" t="s">
        <v>54</v>
      </c>
      <c r="D210" s="31"/>
      <c r="E210" s="31"/>
      <c r="F210" s="31"/>
      <c r="G210" s="31"/>
      <c r="H210" s="134"/>
      <c r="I210" s="134"/>
      <c r="J210" s="134"/>
      <c r="K210" s="134"/>
      <c r="L210" s="242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55"/>
      <c r="Z210" s="242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56"/>
      <c r="AL210" s="242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56"/>
      <c r="AX210" s="31"/>
      <c r="AY210" s="31"/>
      <c r="AZ210" s="109"/>
      <c r="BA210" s="62"/>
      <c r="BB210" s="62"/>
      <c r="BC210" s="62"/>
      <c r="BD210" s="62"/>
      <c r="BE210" s="110"/>
      <c r="BF210" s="109"/>
      <c r="BG210" s="62"/>
      <c r="BH210" s="62"/>
      <c r="BI210" s="110"/>
      <c r="BJ210" s="426">
        <f>BA210-AZ210</f>
        <v>0</v>
      </c>
      <c r="BK210" s="427"/>
      <c r="BL210" s="560"/>
      <c r="BM210" s="109"/>
      <c r="BN210" s="62"/>
      <c r="BO210" s="470"/>
      <c r="BP210" s="64"/>
      <c r="BQ210" s="61"/>
      <c r="BR210" s="65"/>
      <c r="BS210" s="66"/>
      <c r="BT210" s="64"/>
      <c r="BU210" s="61"/>
      <c r="BV210" s="65"/>
      <c r="BW210" s="66"/>
      <c r="BX210" s="431"/>
      <c r="BY210" s="68"/>
      <c r="BZ210" s="69">
        <f>M210+BM210+BQ210+BU210</f>
        <v>0</v>
      </c>
      <c r="CA210" s="70"/>
      <c r="CB210" s="71"/>
      <c r="CC210" s="72">
        <f>BZ210-E210</f>
        <v>0</v>
      </c>
      <c r="CD210" s="562">
        <v>20.83</v>
      </c>
      <c r="CE210" s="561"/>
      <c r="CF210" s="73"/>
      <c r="CG210" s="74"/>
      <c r="CH210" s="74"/>
      <c r="CI210" s="74"/>
      <c r="CJ210" s="74"/>
      <c r="CK210" s="74"/>
      <c r="CL210" s="74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31"/>
      <c r="DB210" s="31"/>
      <c r="DC210" s="31"/>
      <c r="DD210" s="31"/>
      <c r="DE210" s="31"/>
    </row>
    <row r="211" spans="1:110" hidden="1">
      <c r="A211" s="177"/>
      <c r="B211" s="187" t="s">
        <v>41</v>
      </c>
      <c r="C211" s="49" t="s">
        <v>54</v>
      </c>
      <c r="D211" s="31"/>
      <c r="E211" s="31"/>
      <c r="F211" s="31"/>
      <c r="G211" s="31"/>
      <c r="H211" s="134">
        <v>123.16</v>
      </c>
      <c r="I211" s="134"/>
      <c r="J211" s="134"/>
      <c r="K211" s="134"/>
      <c r="L211" s="134">
        <f>G211/12</f>
        <v>0</v>
      </c>
      <c r="M211" s="134"/>
      <c r="N211" s="134">
        <f>H211/12</f>
        <v>10.263333333333334</v>
      </c>
      <c r="O211" s="134"/>
      <c r="P211" s="134"/>
      <c r="Q211" s="134"/>
      <c r="R211" s="134"/>
      <c r="S211" s="134"/>
      <c r="T211" s="134"/>
      <c r="U211" s="134"/>
      <c r="V211" s="134"/>
      <c r="W211" s="134"/>
      <c r="X211" s="134">
        <f>O211-N211</f>
        <v>-10.263333333333334</v>
      </c>
      <c r="Y211" s="155">
        <f>O211/N211</f>
        <v>0</v>
      </c>
      <c r="Z211" s="134">
        <v>10.26</v>
      </c>
      <c r="AA211" s="134">
        <v>17.5</v>
      </c>
      <c r="AB211" s="134">
        <v>10.26</v>
      </c>
      <c r="AC211" s="134"/>
      <c r="AD211" s="134"/>
      <c r="AE211" s="134"/>
      <c r="AF211" s="134"/>
      <c r="AG211" s="134"/>
      <c r="AH211" s="134"/>
      <c r="AI211" s="134"/>
      <c r="AJ211" s="134">
        <f>AC211-AB211</f>
        <v>-10.26</v>
      </c>
      <c r="AK211" s="156">
        <f>AC211/AB211</f>
        <v>0</v>
      </c>
      <c r="AL211" s="134">
        <v>10.26</v>
      </c>
      <c r="AM211" s="134">
        <v>17.5</v>
      </c>
      <c r="AN211" s="134">
        <v>10.26</v>
      </c>
      <c r="AO211" s="134"/>
      <c r="AP211" s="134"/>
      <c r="AQ211" s="134"/>
      <c r="AR211" s="134"/>
      <c r="AS211" s="134"/>
      <c r="AT211" s="134"/>
      <c r="AU211" s="134"/>
      <c r="AV211" s="134">
        <f>AO211-AN211</f>
        <v>-10.26</v>
      </c>
      <c r="AW211" s="156">
        <f>AO211/AN211</f>
        <v>0</v>
      </c>
      <c r="AX211" s="31">
        <f>G211/2</f>
        <v>0</v>
      </c>
      <c r="AY211" s="31"/>
      <c r="AZ211" s="109"/>
      <c r="BA211" s="62"/>
      <c r="BB211" s="62"/>
      <c r="BC211" s="62"/>
      <c r="BD211" s="62"/>
      <c r="BE211" s="110"/>
      <c r="BF211" s="109"/>
      <c r="BG211" s="62"/>
      <c r="BH211" s="62"/>
      <c r="BI211" s="110"/>
      <c r="BJ211" s="426">
        <f>BA211-AZ211</f>
        <v>0</v>
      </c>
      <c r="BK211" s="427" t="e">
        <f>BA211/AZ211</f>
        <v>#DIV/0!</v>
      </c>
      <c r="BL211" s="560"/>
      <c r="BM211" s="109">
        <v>17.50074</v>
      </c>
      <c r="BN211" s="62"/>
      <c r="BO211" s="470"/>
      <c r="BP211" s="64"/>
      <c r="BQ211" s="61"/>
      <c r="BR211" s="65"/>
      <c r="BS211" s="66"/>
      <c r="BT211" s="64"/>
      <c r="BU211" s="61"/>
      <c r="BV211" s="65"/>
      <c r="BW211" s="66"/>
      <c r="BX211" s="431"/>
      <c r="BY211" s="68"/>
      <c r="BZ211" s="69">
        <f>M211+BM211+BQ211+BU211</f>
        <v>17.50074</v>
      </c>
      <c r="CA211" s="70"/>
      <c r="CB211" s="71"/>
      <c r="CC211" s="72">
        <f>BZ211-E211</f>
        <v>17.50074</v>
      </c>
      <c r="CD211" s="562">
        <v>116.22</v>
      </c>
      <c r="CE211" s="561"/>
      <c r="CF211" s="73"/>
      <c r="CG211" s="74"/>
      <c r="CH211" s="74"/>
      <c r="CI211" s="74"/>
      <c r="CJ211" s="74"/>
      <c r="CK211" s="74"/>
      <c r="CL211" s="74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31"/>
      <c r="DB211" s="31"/>
      <c r="DC211" s="31"/>
      <c r="DD211" s="31"/>
      <c r="DE211" s="31"/>
    </row>
    <row r="212" spans="1:110" hidden="1">
      <c r="A212" s="177"/>
      <c r="B212" s="187" t="s">
        <v>99</v>
      </c>
      <c r="C212" s="49" t="s">
        <v>54</v>
      </c>
      <c r="D212" s="31">
        <v>28.8</v>
      </c>
      <c r="E212" s="31">
        <v>28.8</v>
      </c>
      <c r="F212" s="31">
        <v>28.8</v>
      </c>
      <c r="G212" s="31">
        <v>28.8</v>
      </c>
      <c r="H212" s="134">
        <v>11.2</v>
      </c>
      <c r="I212" s="134"/>
      <c r="J212" s="134"/>
      <c r="K212" s="134"/>
      <c r="L212" s="134">
        <f>G212/12</f>
        <v>2.4</v>
      </c>
      <c r="M212" s="134"/>
      <c r="N212" s="134">
        <f>H212/12</f>
        <v>0.93333333333333324</v>
      </c>
      <c r="O212" s="134"/>
      <c r="P212" s="134"/>
      <c r="Q212" s="134"/>
      <c r="R212" s="134"/>
      <c r="S212" s="134"/>
      <c r="T212" s="134"/>
      <c r="U212" s="134"/>
      <c r="V212" s="134"/>
      <c r="W212" s="134"/>
      <c r="X212" s="134">
        <f>O212-N212</f>
        <v>-0.93333333333333324</v>
      </c>
      <c r="Y212" s="155">
        <f>O212/N212</f>
        <v>0</v>
      </c>
      <c r="Z212" s="134">
        <v>0.93</v>
      </c>
      <c r="AA212" s="134">
        <v>5.45</v>
      </c>
      <c r="AB212" s="134">
        <v>0.93</v>
      </c>
      <c r="AC212" s="134"/>
      <c r="AD212" s="134"/>
      <c r="AE212" s="134"/>
      <c r="AF212" s="134"/>
      <c r="AG212" s="134"/>
      <c r="AH212" s="134"/>
      <c r="AI212" s="134"/>
      <c r="AJ212" s="134">
        <f>AC212-AB212</f>
        <v>-0.93</v>
      </c>
      <c r="AK212" s="156">
        <f>AC212/AB212</f>
        <v>0</v>
      </c>
      <c r="AL212" s="134">
        <v>0.93</v>
      </c>
      <c r="AM212" s="134">
        <v>5.45</v>
      </c>
      <c r="AN212" s="134">
        <v>0.93</v>
      </c>
      <c r="AO212" s="134"/>
      <c r="AP212" s="134"/>
      <c r="AQ212" s="134"/>
      <c r="AR212" s="134"/>
      <c r="AS212" s="134"/>
      <c r="AT212" s="134"/>
      <c r="AU212" s="134"/>
      <c r="AV212" s="134">
        <f>AO212-AN212</f>
        <v>-0.93</v>
      </c>
      <c r="AW212" s="156">
        <f>AO212/AN212</f>
        <v>0</v>
      </c>
      <c r="AX212" s="31">
        <f>G212/2</f>
        <v>14.4</v>
      </c>
      <c r="AY212" s="31">
        <v>28.85</v>
      </c>
      <c r="AZ212" s="109"/>
      <c r="BA212" s="62">
        <v>16.73</v>
      </c>
      <c r="BB212" s="62"/>
      <c r="BC212" s="62">
        <v>9.5299999999999994</v>
      </c>
      <c r="BD212" s="62"/>
      <c r="BE212" s="110">
        <v>1.73</v>
      </c>
      <c r="BF212" s="109">
        <v>0.81</v>
      </c>
      <c r="BG212" s="62"/>
      <c r="BH212" s="62"/>
      <c r="BI212" s="110"/>
      <c r="BJ212" s="426">
        <f>BA212-AZ212</f>
        <v>16.73</v>
      </c>
      <c r="BK212" s="427" t="e">
        <f>BA212/AZ212</f>
        <v>#DIV/0!</v>
      </c>
      <c r="BL212" s="560"/>
      <c r="BM212" s="109">
        <v>5.4539999999999997</v>
      </c>
      <c r="BN212" s="62"/>
      <c r="BO212" s="470"/>
      <c r="BP212" s="64"/>
      <c r="BQ212" s="61"/>
      <c r="BR212" s="65"/>
      <c r="BS212" s="66"/>
      <c r="BT212" s="64"/>
      <c r="BU212" s="61"/>
      <c r="BV212" s="65"/>
      <c r="BW212" s="66"/>
      <c r="BX212" s="431"/>
      <c r="BY212" s="68"/>
      <c r="BZ212" s="69"/>
      <c r="CA212" s="70"/>
      <c r="CB212" s="71"/>
      <c r="CC212" s="72"/>
      <c r="CD212" s="562"/>
      <c r="CE212" s="561"/>
      <c r="CF212" s="73"/>
      <c r="CG212" s="74"/>
      <c r="CH212" s="74"/>
      <c r="CI212" s="74"/>
      <c r="CJ212" s="74"/>
      <c r="CK212" s="74"/>
      <c r="CL212" s="74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31">
        <v>28.8</v>
      </c>
      <c r="DB212" s="31">
        <v>28.8</v>
      </c>
      <c r="DC212" s="31">
        <v>28.8</v>
      </c>
      <c r="DD212" s="31">
        <v>29.66</v>
      </c>
      <c r="DE212" s="31">
        <v>28.8</v>
      </c>
    </row>
    <row r="213" spans="1:110" hidden="1">
      <c r="A213" s="177"/>
      <c r="B213" s="187" t="s">
        <v>21</v>
      </c>
      <c r="C213" s="49" t="s">
        <v>54</v>
      </c>
      <c r="D213" s="31"/>
      <c r="E213" s="31">
        <v>10.199999999999999</v>
      </c>
      <c r="F213" s="31">
        <v>10.199999999999999</v>
      </c>
      <c r="G213" s="31">
        <v>10.199999999999999</v>
      </c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55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56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56"/>
      <c r="AX213" s="31"/>
      <c r="AY213" s="31">
        <v>9.68</v>
      </c>
      <c r="AZ213" s="109"/>
      <c r="BA213" s="62">
        <v>10.19</v>
      </c>
      <c r="BB213" s="62"/>
      <c r="BC213" s="62"/>
      <c r="BD213" s="62"/>
      <c r="BE213" s="110"/>
      <c r="BF213" s="109"/>
      <c r="BG213" s="62"/>
      <c r="BH213" s="62"/>
      <c r="BI213" s="110"/>
      <c r="BJ213" s="426"/>
      <c r="BK213" s="427"/>
      <c r="BL213" s="560"/>
      <c r="BM213" s="109"/>
      <c r="BN213" s="62"/>
      <c r="BO213" s="470"/>
      <c r="BP213" s="64"/>
      <c r="BQ213" s="61"/>
      <c r="BR213" s="65"/>
      <c r="BS213" s="66"/>
      <c r="BT213" s="64"/>
      <c r="BU213" s="61"/>
      <c r="BV213" s="65"/>
      <c r="BW213" s="66"/>
      <c r="BX213" s="431"/>
      <c r="BY213" s="68"/>
      <c r="BZ213" s="69"/>
      <c r="CA213" s="70"/>
      <c r="CB213" s="71"/>
      <c r="CC213" s="72"/>
      <c r="CD213" s="562"/>
      <c r="CE213" s="561"/>
      <c r="CF213" s="73"/>
      <c r="CG213" s="74"/>
      <c r="CH213" s="74"/>
      <c r="CI213" s="74"/>
      <c r="CJ213" s="74"/>
      <c r="CK213" s="74"/>
      <c r="CL213" s="74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31">
        <v>10.199999999999999</v>
      </c>
      <c r="DB213" s="31">
        <v>10.199999999999999</v>
      </c>
      <c r="DC213" s="31">
        <v>10.199999999999999</v>
      </c>
      <c r="DD213" s="31">
        <v>13.15</v>
      </c>
      <c r="DE213" s="31">
        <v>4.59</v>
      </c>
      <c r="DF213" s="768"/>
    </row>
    <row r="214" spans="1:110" hidden="1">
      <c r="A214" s="177"/>
      <c r="B214" s="187" t="s">
        <v>213</v>
      </c>
      <c r="C214" s="49" t="s">
        <v>54</v>
      </c>
      <c r="D214" s="31"/>
      <c r="E214" s="31"/>
      <c r="F214" s="31"/>
      <c r="G214" s="31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55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56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56"/>
      <c r="AX214" s="31"/>
      <c r="AY214" s="31"/>
      <c r="AZ214" s="109"/>
      <c r="BA214" s="62"/>
      <c r="BB214" s="62"/>
      <c r="BC214" s="62"/>
      <c r="BD214" s="62"/>
      <c r="BE214" s="110"/>
      <c r="BF214" s="109"/>
      <c r="BG214" s="62">
        <f>AY214</f>
        <v>0</v>
      </c>
      <c r="BH214" s="62"/>
      <c r="BI214" s="110"/>
      <c r="BJ214" s="426"/>
      <c r="BK214" s="427"/>
      <c r="BL214" s="560"/>
      <c r="BM214" s="109"/>
      <c r="BN214" s="62"/>
      <c r="BO214" s="470"/>
      <c r="BP214" s="64"/>
      <c r="BQ214" s="61"/>
      <c r="BR214" s="65"/>
      <c r="BS214" s="66"/>
      <c r="BT214" s="64"/>
      <c r="BU214" s="61"/>
      <c r="BV214" s="65"/>
      <c r="BW214" s="66"/>
      <c r="BX214" s="431"/>
      <c r="BY214" s="68"/>
      <c r="BZ214" s="69"/>
      <c r="CA214" s="70"/>
      <c r="CB214" s="71"/>
      <c r="CC214" s="72"/>
      <c r="CD214" s="562"/>
      <c r="CE214" s="561"/>
      <c r="CF214" s="73"/>
      <c r="CG214" s="74"/>
      <c r="CH214" s="74"/>
      <c r="CI214" s="74"/>
      <c r="CJ214" s="74"/>
      <c r="CK214" s="74"/>
      <c r="CL214" s="74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31"/>
      <c r="DB214" s="31"/>
      <c r="DC214" s="31"/>
      <c r="DD214" s="31"/>
      <c r="DE214" s="31"/>
    </row>
    <row r="215" spans="1:110" hidden="1">
      <c r="A215" s="177"/>
      <c r="B215" s="187" t="s">
        <v>309</v>
      </c>
      <c r="C215" s="49" t="s">
        <v>54</v>
      </c>
      <c r="D215" s="31"/>
      <c r="E215" s="31"/>
      <c r="F215" s="31">
        <v>6</v>
      </c>
      <c r="G215" s="31">
        <v>6</v>
      </c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55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56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56"/>
      <c r="AX215" s="31"/>
      <c r="AY215" s="31">
        <v>0.65</v>
      </c>
      <c r="AZ215" s="109"/>
      <c r="BA215" s="62"/>
      <c r="BB215" s="62"/>
      <c r="BC215" s="62"/>
      <c r="BD215" s="62"/>
      <c r="BE215" s="110"/>
      <c r="BF215" s="109"/>
      <c r="BG215" s="62"/>
      <c r="BH215" s="62"/>
      <c r="BI215" s="110"/>
      <c r="BJ215" s="426"/>
      <c r="BK215" s="427"/>
      <c r="BL215" s="560"/>
      <c r="BM215" s="109"/>
      <c r="BN215" s="62"/>
      <c r="BO215" s="470"/>
      <c r="BP215" s="64"/>
      <c r="BQ215" s="61"/>
      <c r="BR215" s="65"/>
      <c r="BS215" s="66"/>
      <c r="BT215" s="64"/>
      <c r="BU215" s="61"/>
      <c r="BV215" s="65"/>
      <c r="BW215" s="66"/>
      <c r="BX215" s="431"/>
      <c r="BY215" s="68"/>
      <c r="BZ215" s="69"/>
      <c r="CA215" s="70"/>
      <c r="CB215" s="71"/>
      <c r="CC215" s="72"/>
      <c r="CD215" s="562"/>
      <c r="CE215" s="561"/>
      <c r="CF215" s="73"/>
      <c r="CG215" s="74"/>
      <c r="CH215" s="74"/>
      <c r="CI215" s="74"/>
      <c r="CJ215" s="74"/>
      <c r="CK215" s="74"/>
      <c r="CL215" s="74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31"/>
      <c r="DB215" s="31">
        <v>6</v>
      </c>
      <c r="DC215" s="31">
        <v>6</v>
      </c>
      <c r="DD215" s="31">
        <v>3.2</v>
      </c>
      <c r="DE215" s="31">
        <v>6</v>
      </c>
    </row>
    <row r="216" spans="1:110" hidden="1">
      <c r="A216" s="177"/>
      <c r="B216" s="187" t="s">
        <v>184</v>
      </c>
      <c r="C216" s="49" t="s">
        <v>54</v>
      </c>
      <c r="D216" s="31">
        <v>14.4</v>
      </c>
      <c r="E216" s="31"/>
      <c r="F216" s="31"/>
      <c r="G216" s="31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55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56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56"/>
      <c r="AX216" s="31"/>
      <c r="AY216" s="31"/>
      <c r="AZ216" s="109"/>
      <c r="BA216" s="62"/>
      <c r="BB216" s="62"/>
      <c r="BC216" s="62"/>
      <c r="BD216" s="62"/>
      <c r="BE216" s="110"/>
      <c r="BF216" s="109"/>
      <c r="BG216" s="62"/>
      <c r="BH216" s="62"/>
      <c r="BI216" s="110"/>
      <c r="BJ216" s="426"/>
      <c r="BK216" s="427"/>
      <c r="BL216" s="560"/>
      <c r="BM216" s="109"/>
      <c r="BN216" s="62"/>
      <c r="BO216" s="470"/>
      <c r="BP216" s="64"/>
      <c r="BQ216" s="61"/>
      <c r="BR216" s="65"/>
      <c r="BS216" s="66"/>
      <c r="BT216" s="64"/>
      <c r="BU216" s="61"/>
      <c r="BV216" s="65"/>
      <c r="BW216" s="66"/>
      <c r="BX216" s="431"/>
      <c r="BY216" s="68"/>
      <c r="BZ216" s="69"/>
      <c r="CA216" s="70"/>
      <c r="CB216" s="71"/>
      <c r="CC216" s="72"/>
      <c r="CD216" s="562"/>
      <c r="CE216" s="561"/>
      <c r="CF216" s="73"/>
      <c r="CG216" s="74"/>
      <c r="CH216" s="74"/>
      <c r="CI216" s="74"/>
      <c r="CJ216" s="74"/>
      <c r="CK216" s="74"/>
      <c r="CL216" s="74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31"/>
      <c r="DB216" s="31"/>
      <c r="DC216" s="31"/>
      <c r="DD216" s="31"/>
      <c r="DE216" s="31"/>
    </row>
    <row r="217" spans="1:110" ht="24" hidden="1">
      <c r="A217" s="177"/>
      <c r="B217" s="187" t="s">
        <v>68</v>
      </c>
      <c r="C217" s="49" t="s">
        <v>54</v>
      </c>
      <c r="D217" s="31">
        <v>1.2</v>
      </c>
      <c r="E217" s="31"/>
      <c r="F217" s="31"/>
      <c r="G217" s="31"/>
      <c r="H217" s="134"/>
      <c r="I217" s="134"/>
      <c r="J217" s="134"/>
      <c r="K217" s="134"/>
      <c r="L217" s="242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55"/>
      <c r="Z217" s="242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56"/>
      <c r="AL217" s="242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56"/>
      <c r="AX217" s="31"/>
      <c r="AY217" s="31"/>
      <c r="AZ217" s="109"/>
      <c r="BA217" s="62"/>
      <c r="BB217" s="62"/>
      <c r="BC217" s="62"/>
      <c r="BD217" s="62"/>
      <c r="BE217" s="110"/>
      <c r="BF217" s="109"/>
      <c r="BG217" s="62"/>
      <c r="BH217" s="62"/>
      <c r="BI217" s="110"/>
      <c r="BJ217" s="426">
        <f>BA217-AZ217</f>
        <v>0</v>
      </c>
      <c r="BK217" s="427"/>
      <c r="BL217" s="560"/>
      <c r="BM217" s="109"/>
      <c r="BN217" s="62"/>
      <c r="BO217" s="470"/>
      <c r="BP217" s="64"/>
      <c r="BQ217" s="61"/>
      <c r="BR217" s="65"/>
      <c r="BS217" s="66"/>
      <c r="BT217" s="64"/>
      <c r="BU217" s="61"/>
      <c r="BV217" s="65"/>
      <c r="BW217" s="66"/>
      <c r="BX217" s="431"/>
      <c r="BY217" s="68"/>
      <c r="BZ217" s="69">
        <f>M217+BM217+BQ217+BU217</f>
        <v>0</v>
      </c>
      <c r="CA217" s="70"/>
      <c r="CB217" s="71"/>
      <c r="CC217" s="72">
        <f>BZ217-E217</f>
        <v>0</v>
      </c>
      <c r="CD217" s="562">
        <v>0.4</v>
      </c>
      <c r="CE217" s="561"/>
      <c r="CF217" s="73"/>
      <c r="CG217" s="74"/>
      <c r="CH217" s="74"/>
      <c r="CI217" s="74"/>
      <c r="CJ217" s="74"/>
      <c r="CK217" s="74"/>
      <c r="CL217" s="74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31"/>
      <c r="DB217" s="31"/>
      <c r="DC217" s="31"/>
      <c r="DD217" s="31"/>
      <c r="DE217" s="31"/>
    </row>
    <row r="218" spans="1:110" hidden="1">
      <c r="A218" s="177"/>
      <c r="B218" s="187" t="s">
        <v>62</v>
      </c>
      <c r="C218" s="49" t="s">
        <v>54</v>
      </c>
      <c r="D218" s="31">
        <v>60</v>
      </c>
      <c r="E218" s="31"/>
      <c r="F218" s="31"/>
      <c r="G218" s="31"/>
      <c r="H218" s="134"/>
      <c r="I218" s="134"/>
      <c r="J218" s="134"/>
      <c r="K218" s="134"/>
      <c r="L218" s="242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55"/>
      <c r="Z218" s="242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56"/>
      <c r="AL218" s="242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56"/>
      <c r="AX218" s="31"/>
      <c r="AY218" s="31">
        <v>11.25</v>
      </c>
      <c r="AZ218" s="109"/>
      <c r="BA218" s="62"/>
      <c r="BB218" s="62"/>
      <c r="BC218" s="62"/>
      <c r="BD218" s="62"/>
      <c r="BE218" s="110"/>
      <c r="BF218" s="109"/>
      <c r="BG218" s="62">
        <v>44.29</v>
      </c>
      <c r="BH218" s="62"/>
      <c r="BI218" s="110"/>
      <c r="BJ218" s="426">
        <f>BA218-AZ218</f>
        <v>0</v>
      </c>
      <c r="BK218" s="427"/>
      <c r="BL218" s="560"/>
      <c r="BM218" s="109"/>
      <c r="BN218" s="62"/>
      <c r="BO218" s="470"/>
      <c r="BP218" s="64"/>
      <c r="BQ218" s="61"/>
      <c r="BR218" s="65"/>
      <c r="BS218" s="66"/>
      <c r="BT218" s="64"/>
      <c r="BU218" s="61"/>
      <c r="BV218" s="65"/>
      <c r="BW218" s="66"/>
      <c r="BX218" s="431"/>
      <c r="BY218" s="68"/>
      <c r="BZ218" s="69">
        <f>M218+BM218+BQ218+BU218</f>
        <v>0</v>
      </c>
      <c r="CA218" s="70"/>
      <c r="CB218" s="71"/>
      <c r="CC218" s="72">
        <f>BZ218-E218</f>
        <v>0</v>
      </c>
      <c r="CD218" s="562">
        <v>1.85</v>
      </c>
      <c r="CE218" s="561"/>
      <c r="CF218" s="73"/>
      <c r="CG218" s="74"/>
      <c r="CH218" s="74"/>
      <c r="CI218" s="74"/>
      <c r="CJ218" s="74"/>
      <c r="CK218" s="74"/>
      <c r="CL218" s="74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31"/>
      <c r="DB218" s="31"/>
      <c r="DC218" s="31"/>
      <c r="DD218" s="31"/>
      <c r="DE218" s="31"/>
    </row>
    <row r="219" spans="1:110" hidden="1">
      <c r="A219" s="177"/>
      <c r="B219" s="187" t="s">
        <v>63</v>
      </c>
      <c r="C219" s="49" t="s">
        <v>54</v>
      </c>
      <c r="D219" s="31">
        <v>5.8</v>
      </c>
      <c r="E219" s="31">
        <v>7.4</v>
      </c>
      <c r="F219" s="31">
        <v>7.4</v>
      </c>
      <c r="G219" s="31">
        <v>7.4</v>
      </c>
      <c r="H219" s="134"/>
      <c r="I219" s="134"/>
      <c r="J219" s="134"/>
      <c r="K219" s="134"/>
      <c r="L219" s="242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55"/>
      <c r="Z219" s="242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56"/>
      <c r="AL219" s="242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56"/>
      <c r="AX219" s="31"/>
      <c r="AY219" s="31">
        <v>3</v>
      </c>
      <c r="AZ219" s="109"/>
      <c r="BA219" s="62">
        <v>3.37</v>
      </c>
      <c r="BB219" s="62"/>
      <c r="BC219" s="62">
        <v>2.73</v>
      </c>
      <c r="BD219" s="62"/>
      <c r="BE219" s="110">
        <v>1.3</v>
      </c>
      <c r="BF219" s="109"/>
      <c r="BG219" s="62"/>
      <c r="BH219" s="62"/>
      <c r="BI219" s="110"/>
      <c r="BJ219" s="426"/>
      <c r="BK219" s="427"/>
      <c r="BL219" s="560"/>
      <c r="BM219" s="109"/>
      <c r="BN219" s="62"/>
      <c r="BO219" s="470"/>
      <c r="BP219" s="64"/>
      <c r="BQ219" s="61"/>
      <c r="BR219" s="65"/>
      <c r="BS219" s="66"/>
      <c r="BT219" s="64"/>
      <c r="BU219" s="61"/>
      <c r="BV219" s="65"/>
      <c r="BW219" s="66"/>
      <c r="BX219" s="431"/>
      <c r="BY219" s="68"/>
      <c r="BZ219" s="69"/>
      <c r="CA219" s="70"/>
      <c r="CB219" s="71"/>
      <c r="CC219" s="72"/>
      <c r="CD219" s="562"/>
      <c r="CE219" s="561"/>
      <c r="CF219" s="73"/>
      <c r="CG219" s="74"/>
      <c r="CH219" s="74"/>
      <c r="CI219" s="74"/>
      <c r="CJ219" s="74"/>
      <c r="CK219" s="74"/>
      <c r="CL219" s="74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31">
        <v>7.4</v>
      </c>
      <c r="DB219" s="31">
        <v>7.4</v>
      </c>
      <c r="DC219" s="31">
        <v>7.4</v>
      </c>
      <c r="DD219" s="31">
        <v>5</v>
      </c>
      <c r="DE219" s="31">
        <v>7.4</v>
      </c>
    </row>
    <row r="220" spans="1:110" hidden="1">
      <c r="A220" s="177"/>
      <c r="B220" s="187" t="s">
        <v>34</v>
      </c>
      <c r="C220" s="49" t="s">
        <v>54</v>
      </c>
      <c r="D220" s="31">
        <v>9</v>
      </c>
      <c r="E220" s="31">
        <v>9</v>
      </c>
      <c r="F220" s="31">
        <v>9</v>
      </c>
      <c r="G220" s="31">
        <v>9</v>
      </c>
      <c r="H220" s="134">
        <v>3</v>
      </c>
      <c r="I220" s="134"/>
      <c r="J220" s="134"/>
      <c r="K220" s="134"/>
      <c r="L220" s="134">
        <f>G220/12</f>
        <v>0.75</v>
      </c>
      <c r="M220" s="245">
        <v>0.05</v>
      </c>
      <c r="N220" s="134">
        <f>H220/12</f>
        <v>0.25</v>
      </c>
      <c r="O220" s="245">
        <v>0.05</v>
      </c>
      <c r="P220" s="245"/>
      <c r="Q220" s="245"/>
      <c r="R220" s="245"/>
      <c r="S220" s="245"/>
      <c r="T220" s="245"/>
      <c r="U220" s="245"/>
      <c r="V220" s="245"/>
      <c r="W220" s="245"/>
      <c r="X220" s="134">
        <f>O220-N220</f>
        <v>-0.2</v>
      </c>
      <c r="Y220" s="155">
        <f>O220/N220</f>
        <v>0.2</v>
      </c>
      <c r="Z220" s="134">
        <v>0.25</v>
      </c>
      <c r="AA220" s="245">
        <v>0.42</v>
      </c>
      <c r="AB220" s="134">
        <v>0.25</v>
      </c>
      <c r="AC220" s="245"/>
      <c r="AD220" s="245"/>
      <c r="AE220" s="245"/>
      <c r="AF220" s="245"/>
      <c r="AG220" s="245"/>
      <c r="AH220" s="245"/>
      <c r="AI220" s="245"/>
      <c r="AJ220" s="134">
        <f>AC220-AB220</f>
        <v>-0.25</v>
      </c>
      <c r="AK220" s="156">
        <f>AC220/AB220</f>
        <v>0</v>
      </c>
      <c r="AL220" s="134">
        <v>0.25</v>
      </c>
      <c r="AM220" s="245">
        <v>0.42</v>
      </c>
      <c r="AN220" s="134">
        <v>0.25</v>
      </c>
      <c r="AO220" s="245"/>
      <c r="AP220" s="245"/>
      <c r="AQ220" s="245"/>
      <c r="AR220" s="245"/>
      <c r="AS220" s="245"/>
      <c r="AT220" s="245"/>
      <c r="AU220" s="245"/>
      <c r="AV220" s="134">
        <f>AO220-AN220</f>
        <v>-0.25</v>
      </c>
      <c r="AW220" s="156">
        <f>AO220/AN220</f>
        <v>0</v>
      </c>
      <c r="AX220" s="31">
        <f>G220/2</f>
        <v>4.5</v>
      </c>
      <c r="AY220" s="31">
        <f>13.92-5.48</f>
        <v>8.44</v>
      </c>
      <c r="AZ220" s="109"/>
      <c r="BA220" s="62">
        <v>4.0999999999999996</v>
      </c>
      <c r="BB220" s="7"/>
      <c r="BC220" s="62">
        <v>1.73</v>
      </c>
      <c r="BD220" s="62"/>
      <c r="BE220" s="110">
        <v>0.08</v>
      </c>
      <c r="BF220" s="109"/>
      <c r="BG220" s="62"/>
      <c r="BH220" s="7"/>
      <c r="BI220" s="8"/>
      <c r="BJ220" s="426">
        <f>BA220-AZ220</f>
        <v>4.0999999999999996</v>
      </c>
      <c r="BK220" s="427" t="e">
        <f>BA220/AZ220</f>
        <v>#DIV/0!</v>
      </c>
      <c r="BL220" s="560"/>
      <c r="BM220" s="109">
        <v>0.41539999999999999</v>
      </c>
      <c r="BN220" s="62"/>
      <c r="BO220" s="470"/>
      <c r="BP220" s="64"/>
      <c r="BQ220" s="61"/>
      <c r="BR220" s="65"/>
      <c r="BS220" s="66"/>
      <c r="BT220" s="64"/>
      <c r="BU220" s="61"/>
      <c r="BV220" s="65"/>
      <c r="BW220" s="66"/>
      <c r="BX220" s="431"/>
      <c r="BY220" s="68"/>
      <c r="BZ220" s="69">
        <f>M220+BM220+BQ220+BU220</f>
        <v>0.46539999999999998</v>
      </c>
      <c r="CA220" s="70"/>
      <c r="CB220" s="71"/>
      <c r="CC220" s="72">
        <f>BZ220-E220</f>
        <v>-8.5345999999999993</v>
      </c>
      <c r="CD220" s="562">
        <v>2.1</v>
      </c>
      <c r="CE220" s="561"/>
      <c r="CF220" s="73"/>
      <c r="CG220" s="74"/>
      <c r="CH220" s="74"/>
      <c r="CI220" s="74"/>
      <c r="CJ220" s="74"/>
      <c r="CK220" s="74"/>
      <c r="CL220" s="74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31">
        <v>9</v>
      </c>
      <c r="DB220" s="31">
        <v>9</v>
      </c>
      <c r="DC220" s="31">
        <v>9</v>
      </c>
      <c r="DD220" s="31">
        <v>9.6300000000000008</v>
      </c>
      <c r="DE220" s="31">
        <v>9</v>
      </c>
    </row>
    <row r="221" spans="1:110" hidden="1">
      <c r="A221" s="177"/>
      <c r="B221" s="187" t="s">
        <v>187</v>
      </c>
      <c r="C221" s="49" t="s">
        <v>54</v>
      </c>
      <c r="D221" s="31"/>
      <c r="E221" s="31"/>
      <c r="F221" s="31"/>
      <c r="G221" s="31"/>
      <c r="H221" s="134"/>
      <c r="I221" s="134"/>
      <c r="J221" s="134"/>
      <c r="K221" s="134"/>
      <c r="L221" s="134"/>
      <c r="M221" s="245"/>
      <c r="N221" s="134"/>
      <c r="O221" s="245"/>
      <c r="P221" s="245"/>
      <c r="Q221" s="245"/>
      <c r="R221" s="245"/>
      <c r="S221" s="245"/>
      <c r="T221" s="245"/>
      <c r="U221" s="245"/>
      <c r="V221" s="245"/>
      <c r="W221" s="245"/>
      <c r="X221" s="134"/>
      <c r="Y221" s="155"/>
      <c r="Z221" s="134"/>
      <c r="AA221" s="245"/>
      <c r="AB221" s="134"/>
      <c r="AC221" s="245"/>
      <c r="AD221" s="245"/>
      <c r="AE221" s="245"/>
      <c r="AF221" s="245"/>
      <c r="AG221" s="245"/>
      <c r="AH221" s="245"/>
      <c r="AI221" s="245"/>
      <c r="AJ221" s="134"/>
      <c r="AK221" s="156"/>
      <c r="AL221" s="134"/>
      <c r="AM221" s="245"/>
      <c r="AN221" s="134"/>
      <c r="AO221" s="245"/>
      <c r="AP221" s="245"/>
      <c r="AQ221" s="245"/>
      <c r="AR221" s="245"/>
      <c r="AS221" s="245"/>
      <c r="AT221" s="245"/>
      <c r="AU221" s="245"/>
      <c r="AV221" s="134"/>
      <c r="AW221" s="156"/>
      <c r="AX221" s="31"/>
      <c r="AY221" s="31"/>
      <c r="AZ221" s="109"/>
      <c r="BA221" s="62"/>
      <c r="BB221" s="7"/>
      <c r="BC221" s="62"/>
      <c r="BD221" s="62"/>
      <c r="BE221" s="110"/>
      <c r="BF221" s="109"/>
      <c r="BG221" s="62"/>
      <c r="BH221" s="7"/>
      <c r="BI221" s="8"/>
      <c r="BJ221" s="426"/>
      <c r="BK221" s="427"/>
      <c r="BL221" s="560"/>
      <c r="BM221" s="109"/>
      <c r="BN221" s="62"/>
      <c r="BO221" s="470"/>
      <c r="BP221" s="64"/>
      <c r="BQ221" s="61"/>
      <c r="BR221" s="65"/>
      <c r="BS221" s="66"/>
      <c r="BT221" s="64"/>
      <c r="BU221" s="61"/>
      <c r="BV221" s="65"/>
      <c r="BW221" s="66"/>
      <c r="BX221" s="431"/>
      <c r="BY221" s="68"/>
      <c r="BZ221" s="69"/>
      <c r="CA221" s="70"/>
      <c r="CB221" s="71"/>
      <c r="CC221" s="72"/>
      <c r="CD221" s="562"/>
      <c r="CE221" s="561"/>
      <c r="CF221" s="73"/>
      <c r="CG221" s="74"/>
      <c r="CH221" s="74"/>
      <c r="CI221" s="74"/>
      <c r="CJ221" s="74"/>
      <c r="CK221" s="74"/>
      <c r="CL221" s="74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31"/>
      <c r="DB221" s="31"/>
      <c r="DC221" s="31"/>
      <c r="DD221" s="31"/>
      <c r="DE221" s="31"/>
    </row>
    <row r="222" spans="1:110" hidden="1">
      <c r="A222" s="177"/>
      <c r="B222" s="187" t="s">
        <v>11</v>
      </c>
      <c r="C222" s="49" t="s">
        <v>54</v>
      </c>
      <c r="D222" s="31">
        <v>47.64</v>
      </c>
      <c r="E222" s="31">
        <v>49.73</v>
      </c>
      <c r="F222" s="31">
        <v>49.73</v>
      </c>
      <c r="G222" s="31">
        <v>49.73</v>
      </c>
      <c r="H222" s="134">
        <v>66</v>
      </c>
      <c r="I222" s="134"/>
      <c r="J222" s="134"/>
      <c r="K222" s="134"/>
      <c r="L222" s="134">
        <f>G222/12</f>
        <v>4.1441666666666661</v>
      </c>
      <c r="M222" s="134">
        <v>4.8899999999999997</v>
      </c>
      <c r="N222" s="134">
        <f>H222/12</f>
        <v>5.5</v>
      </c>
      <c r="O222" s="134">
        <v>4.8899999999999997</v>
      </c>
      <c r="P222" s="134"/>
      <c r="Q222" s="134"/>
      <c r="R222" s="134"/>
      <c r="S222" s="134"/>
      <c r="T222" s="134"/>
      <c r="U222" s="134"/>
      <c r="V222" s="134"/>
      <c r="W222" s="134"/>
      <c r="X222" s="134">
        <f>O222-N222</f>
        <v>-0.61000000000000032</v>
      </c>
      <c r="Y222" s="155">
        <f>O222/N222</f>
        <v>0.88909090909090904</v>
      </c>
      <c r="Z222" s="134">
        <v>5.5</v>
      </c>
      <c r="AA222" s="134">
        <v>4.7699999999999996</v>
      </c>
      <c r="AB222" s="134">
        <v>5.5</v>
      </c>
      <c r="AC222" s="134"/>
      <c r="AD222" s="134"/>
      <c r="AE222" s="134"/>
      <c r="AF222" s="134"/>
      <c r="AG222" s="134"/>
      <c r="AH222" s="134"/>
      <c r="AI222" s="134"/>
      <c r="AJ222" s="134">
        <f>AC222-AB222</f>
        <v>-5.5</v>
      </c>
      <c r="AK222" s="156">
        <f>AC222/AB222</f>
        <v>0</v>
      </c>
      <c r="AL222" s="134">
        <v>5.5</v>
      </c>
      <c r="AM222" s="134">
        <v>4.7699999999999996</v>
      </c>
      <c r="AN222" s="134">
        <v>5.5</v>
      </c>
      <c r="AO222" s="134"/>
      <c r="AP222" s="134"/>
      <c r="AQ222" s="134"/>
      <c r="AR222" s="134"/>
      <c r="AS222" s="134"/>
      <c r="AT222" s="134"/>
      <c r="AU222" s="134"/>
      <c r="AV222" s="134">
        <f>AO222-AN222</f>
        <v>-5.5</v>
      </c>
      <c r="AW222" s="156">
        <f>AO222/AN222</f>
        <v>0</v>
      </c>
      <c r="AX222" s="31">
        <f>G222/2</f>
        <v>24.864999999999998</v>
      </c>
      <c r="AY222" s="31">
        <v>45.29</v>
      </c>
      <c r="AZ222" s="109"/>
      <c r="BA222" s="62">
        <v>29.48</v>
      </c>
      <c r="BB222" s="62"/>
      <c r="BC222" s="62">
        <v>17.07</v>
      </c>
      <c r="BD222" s="62"/>
      <c r="BE222" s="110">
        <v>2.08</v>
      </c>
      <c r="BF222" s="109"/>
      <c r="BG222" s="62"/>
      <c r="BH222" s="62"/>
      <c r="BI222" s="110"/>
      <c r="BJ222" s="426">
        <f>BA222-AZ222</f>
        <v>29.48</v>
      </c>
      <c r="BK222" s="427" t="e">
        <f>BA222/AZ222</f>
        <v>#DIV/0!</v>
      </c>
      <c r="BL222" s="560"/>
      <c r="BM222" s="109">
        <v>4.77372</v>
      </c>
      <c r="BN222" s="62"/>
      <c r="BO222" s="470"/>
      <c r="BP222" s="64"/>
      <c r="BQ222" s="61"/>
      <c r="BR222" s="65"/>
      <c r="BS222" s="66"/>
      <c r="BT222" s="64"/>
      <c r="BU222" s="61"/>
      <c r="BV222" s="65"/>
      <c r="BW222" s="66"/>
      <c r="BX222" s="431"/>
      <c r="BY222" s="68"/>
      <c r="BZ222" s="69">
        <f>M222+BM222+BQ222+BU222</f>
        <v>9.6637199999999996</v>
      </c>
      <c r="CA222" s="70"/>
      <c r="CB222" s="71"/>
      <c r="CC222" s="72">
        <f>BZ222-E222</f>
        <v>-40.066279999999999</v>
      </c>
      <c r="CD222" s="562">
        <v>58.49</v>
      </c>
      <c r="CE222" s="561"/>
      <c r="CF222" s="73"/>
      <c r="CG222" s="74"/>
      <c r="CH222" s="74"/>
      <c r="CI222" s="74"/>
      <c r="CJ222" s="74"/>
      <c r="CK222" s="74"/>
      <c r="CL222" s="74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31">
        <v>49.73</v>
      </c>
      <c r="DB222" s="31">
        <v>49.73</v>
      </c>
      <c r="DC222" s="31">
        <v>49.73</v>
      </c>
      <c r="DD222" s="31">
        <v>43.37</v>
      </c>
      <c r="DE222" s="31">
        <v>49.73</v>
      </c>
    </row>
    <row r="223" spans="1:110" hidden="1">
      <c r="A223" s="194"/>
      <c r="B223" s="195" t="s">
        <v>159</v>
      </c>
      <c r="C223" s="49" t="s">
        <v>54</v>
      </c>
      <c r="D223" s="31">
        <v>13.2</v>
      </c>
      <c r="E223" s="31">
        <v>13.2</v>
      </c>
      <c r="F223" s="31">
        <v>13.2</v>
      </c>
      <c r="G223" s="31">
        <v>13.2</v>
      </c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55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56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56"/>
      <c r="AX223" s="31"/>
      <c r="AY223" s="31">
        <v>13.05</v>
      </c>
      <c r="AZ223" s="109"/>
      <c r="BA223" s="62">
        <v>8.08</v>
      </c>
      <c r="BB223" s="62"/>
      <c r="BC223" s="62">
        <v>4.49</v>
      </c>
      <c r="BD223" s="62"/>
      <c r="BE223" s="110">
        <v>0.53</v>
      </c>
      <c r="BF223" s="109"/>
      <c r="BG223" s="62"/>
      <c r="BH223" s="62"/>
      <c r="BI223" s="110"/>
      <c r="BJ223" s="426"/>
      <c r="BK223" s="427"/>
      <c r="BL223" s="560"/>
      <c r="BM223" s="149"/>
      <c r="BN223" s="62"/>
      <c r="BO223" s="470"/>
      <c r="BP223" s="485"/>
      <c r="BQ223" s="483"/>
      <c r="BR223" s="486"/>
      <c r="BS223" s="487"/>
      <c r="BT223" s="485"/>
      <c r="BU223" s="483"/>
      <c r="BV223" s="486"/>
      <c r="BW223" s="487"/>
      <c r="BX223" s="440"/>
      <c r="BY223" s="488"/>
      <c r="BZ223" s="489"/>
      <c r="CA223" s="490"/>
      <c r="CB223" s="491"/>
      <c r="CC223" s="72"/>
      <c r="CD223" s="562"/>
      <c r="CE223" s="561"/>
      <c r="CF223" s="492"/>
      <c r="CG223" s="74"/>
      <c r="CH223" s="74"/>
      <c r="CI223" s="74"/>
      <c r="CJ223" s="74"/>
      <c r="CK223" s="74"/>
      <c r="CL223" s="74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31">
        <v>13.2</v>
      </c>
      <c r="DB223" s="31">
        <v>13.2</v>
      </c>
      <c r="DC223" s="31">
        <v>13.2</v>
      </c>
      <c r="DD223" s="31">
        <v>13.2</v>
      </c>
      <c r="DE223" s="31">
        <v>13.2</v>
      </c>
    </row>
    <row r="224" spans="1:110" hidden="1">
      <c r="A224" s="194"/>
      <c r="B224" s="195" t="s">
        <v>316</v>
      </c>
      <c r="C224" s="49"/>
      <c r="D224" s="31"/>
      <c r="E224" s="31"/>
      <c r="F224" s="31"/>
      <c r="G224" s="31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112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113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113"/>
      <c r="AX224" s="31"/>
      <c r="AY224" s="31">
        <v>0.45</v>
      </c>
      <c r="AZ224" s="109"/>
      <c r="BA224" s="62"/>
      <c r="BB224" s="62"/>
      <c r="BC224" s="62"/>
      <c r="BD224" s="62"/>
      <c r="BE224" s="110"/>
      <c r="BF224" s="109"/>
      <c r="BG224" s="62"/>
      <c r="BH224" s="103"/>
      <c r="BI224" s="104"/>
      <c r="BJ224" s="417"/>
      <c r="BK224" s="418"/>
      <c r="BL224" s="36"/>
      <c r="BM224" s="2"/>
      <c r="BN224" s="103"/>
      <c r="BO224" s="455"/>
      <c r="BP224" s="14"/>
      <c r="BQ224" s="15"/>
      <c r="BR224" s="563"/>
      <c r="BS224" s="17"/>
      <c r="BT224" s="14"/>
      <c r="BU224" s="15"/>
      <c r="BV224" s="563"/>
      <c r="BW224" s="17"/>
      <c r="BX224" s="18"/>
      <c r="BY224" s="19"/>
      <c r="BZ224" s="20"/>
      <c r="CA224" s="564"/>
      <c r="CB224" s="21"/>
      <c r="CC224" s="93"/>
      <c r="CD224" s="565"/>
      <c r="CE224" s="566"/>
      <c r="CF224" s="24"/>
      <c r="CG224" s="74"/>
      <c r="CH224" s="74"/>
      <c r="CI224" s="74"/>
      <c r="CJ224" s="74"/>
      <c r="CK224" s="74"/>
      <c r="CL224" s="74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31"/>
      <c r="DB224" s="31"/>
      <c r="DC224" s="31"/>
      <c r="DD224" s="31"/>
      <c r="DE224" s="31"/>
    </row>
    <row r="225" spans="1:110" hidden="1">
      <c r="A225" s="177"/>
      <c r="B225" s="187" t="s">
        <v>19</v>
      </c>
      <c r="C225" s="49" t="s">
        <v>54</v>
      </c>
      <c r="D225" s="31"/>
      <c r="E225" s="31"/>
      <c r="F225" s="31"/>
      <c r="G225" s="31"/>
      <c r="H225" s="31"/>
      <c r="I225" s="31"/>
      <c r="J225" s="31"/>
      <c r="K225" s="31"/>
      <c r="L225" s="105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106"/>
      <c r="Z225" s="105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107"/>
      <c r="AL225" s="105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107"/>
      <c r="AX225" s="108"/>
      <c r="AY225" s="31">
        <v>0.85</v>
      </c>
      <c r="AZ225" s="109"/>
      <c r="BA225" s="62">
        <v>16.760000000000002</v>
      </c>
      <c r="BB225" s="62"/>
      <c r="BC225" s="62">
        <v>12.06</v>
      </c>
      <c r="BD225" s="62"/>
      <c r="BE225" s="110">
        <v>0.87</v>
      </c>
      <c r="BF225" s="109"/>
      <c r="BG225" s="62"/>
      <c r="BH225" s="103"/>
      <c r="BI225" s="104"/>
      <c r="BJ225" s="417"/>
      <c r="BK225" s="418"/>
      <c r="BL225" s="36"/>
      <c r="BM225" s="2"/>
      <c r="BN225" s="103"/>
      <c r="BO225" s="455"/>
      <c r="BP225" s="14"/>
      <c r="BQ225" s="15"/>
      <c r="BR225" s="563"/>
      <c r="BS225" s="17"/>
      <c r="BT225" s="14"/>
      <c r="BU225" s="15"/>
      <c r="BV225" s="563"/>
      <c r="BW225" s="17"/>
      <c r="BX225" s="18"/>
      <c r="BY225" s="19"/>
      <c r="BZ225" s="20"/>
      <c r="CA225" s="564"/>
      <c r="CB225" s="21"/>
      <c r="CC225" s="93"/>
      <c r="CD225" s="565"/>
      <c r="CE225" s="566"/>
      <c r="CF225" s="24"/>
      <c r="CG225" s="74"/>
      <c r="CH225" s="74"/>
      <c r="CI225" s="74"/>
      <c r="CJ225" s="74"/>
      <c r="CK225" s="74"/>
      <c r="CL225" s="74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31"/>
      <c r="DB225" s="31"/>
      <c r="DC225" s="31"/>
      <c r="DD225" s="31"/>
      <c r="DE225" s="31"/>
    </row>
    <row r="226" spans="1:110" ht="24" hidden="1">
      <c r="A226" s="165"/>
      <c r="B226" s="32" t="s">
        <v>214</v>
      </c>
      <c r="C226" s="49" t="s">
        <v>54</v>
      </c>
      <c r="D226" s="31"/>
      <c r="E226" s="31"/>
      <c r="F226" s="31"/>
      <c r="G226" s="31"/>
      <c r="H226" s="33"/>
      <c r="I226" s="33"/>
      <c r="J226" s="33"/>
      <c r="K226" s="33"/>
      <c r="L226" s="98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99"/>
      <c r="Z226" s="98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100"/>
      <c r="AL226" s="98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100"/>
      <c r="AX226" s="101"/>
      <c r="AY226" s="31">
        <v>39.6</v>
      </c>
      <c r="AZ226" s="102"/>
      <c r="BA226" s="62">
        <v>6.8</v>
      </c>
      <c r="BB226" s="103"/>
      <c r="BC226" s="62">
        <v>7.06</v>
      </c>
      <c r="BD226" s="103"/>
      <c r="BE226" s="110"/>
      <c r="BF226" s="102"/>
      <c r="BG226" s="103"/>
      <c r="BH226" s="103"/>
      <c r="BI226" s="104"/>
      <c r="BJ226" s="417"/>
      <c r="BK226" s="418"/>
      <c r="BL226" s="36"/>
      <c r="BM226" s="2"/>
      <c r="BN226" s="103"/>
      <c r="BO226" s="455"/>
      <c r="BP226" s="14"/>
      <c r="BQ226" s="15"/>
      <c r="BR226" s="563"/>
      <c r="BS226" s="17"/>
      <c r="BT226" s="14"/>
      <c r="BU226" s="15"/>
      <c r="BV226" s="563"/>
      <c r="BW226" s="17"/>
      <c r="BX226" s="18"/>
      <c r="BY226" s="19"/>
      <c r="BZ226" s="20"/>
      <c r="CA226" s="564"/>
      <c r="CB226" s="21"/>
      <c r="CC226" s="93"/>
      <c r="CD226" s="565"/>
      <c r="CE226" s="566"/>
      <c r="CF226" s="24"/>
      <c r="CG226" s="74"/>
      <c r="CH226" s="74"/>
      <c r="CI226" s="74"/>
      <c r="CJ226" s="74"/>
      <c r="CK226" s="74"/>
      <c r="CL226" s="74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31"/>
      <c r="DB226" s="31"/>
      <c r="DC226" s="31"/>
      <c r="DD226" s="31"/>
      <c r="DE226" s="31"/>
    </row>
    <row r="227" spans="1:110" hidden="1">
      <c r="A227" s="165"/>
      <c r="B227" s="32" t="s">
        <v>167</v>
      </c>
      <c r="C227" s="49" t="s">
        <v>54</v>
      </c>
      <c r="D227" s="31"/>
      <c r="E227" s="31"/>
      <c r="F227" s="31"/>
      <c r="G227" s="31"/>
      <c r="H227" s="33"/>
      <c r="I227" s="33"/>
      <c r="J227" s="33"/>
      <c r="K227" s="33"/>
      <c r="L227" s="98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99"/>
      <c r="Z227" s="98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100"/>
      <c r="AL227" s="98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100"/>
      <c r="AX227" s="101"/>
      <c r="AY227" s="31">
        <v>39</v>
      </c>
      <c r="AZ227" s="102"/>
      <c r="BA227" s="62">
        <v>58.63</v>
      </c>
      <c r="BB227" s="103"/>
      <c r="BC227" s="62">
        <v>14.17</v>
      </c>
      <c r="BD227" s="103"/>
      <c r="BE227" s="110">
        <v>2.93</v>
      </c>
      <c r="BF227" s="102"/>
      <c r="BG227" s="103"/>
      <c r="BH227" s="103"/>
      <c r="BI227" s="104"/>
      <c r="BJ227" s="417"/>
      <c r="BK227" s="418"/>
      <c r="BL227" s="36"/>
      <c r="BM227" s="102"/>
      <c r="BN227" s="103"/>
      <c r="BO227" s="455"/>
      <c r="BP227" s="567"/>
      <c r="BQ227" s="568"/>
      <c r="BR227" s="569"/>
      <c r="BS227" s="570"/>
      <c r="BT227" s="567"/>
      <c r="BU227" s="568"/>
      <c r="BV227" s="569"/>
      <c r="BW227" s="570"/>
      <c r="BX227" s="422"/>
      <c r="BY227" s="571"/>
      <c r="BZ227" s="572"/>
      <c r="CA227" s="573"/>
      <c r="CB227" s="574"/>
      <c r="CC227" s="93"/>
      <c r="CD227" s="565"/>
      <c r="CE227" s="566"/>
      <c r="CF227" s="575"/>
      <c r="CG227" s="576"/>
      <c r="CH227" s="576"/>
      <c r="CI227" s="576"/>
      <c r="CJ227" s="576"/>
      <c r="CK227" s="576"/>
      <c r="CL227" s="576"/>
      <c r="CM227" s="577"/>
      <c r="CN227" s="577"/>
      <c r="CO227" s="577"/>
      <c r="CP227" s="577"/>
      <c r="CQ227" s="577"/>
      <c r="CR227" s="577"/>
      <c r="CS227" s="577"/>
      <c r="CT227" s="577"/>
      <c r="CU227" s="577"/>
      <c r="CV227" s="577"/>
      <c r="CW227" s="577"/>
      <c r="CX227" s="577"/>
      <c r="CY227" s="577"/>
      <c r="CZ227" s="577"/>
      <c r="DA227" s="31"/>
      <c r="DB227" s="31"/>
      <c r="DC227" s="31"/>
      <c r="DD227" s="31"/>
      <c r="DE227" s="31"/>
    </row>
    <row r="228" spans="1:110" hidden="1">
      <c r="A228" s="232" t="s">
        <v>325</v>
      </c>
      <c r="B228" s="166" t="s">
        <v>15</v>
      </c>
      <c r="C228" s="266" t="s">
        <v>54</v>
      </c>
      <c r="D228" s="108"/>
      <c r="E228" s="108"/>
      <c r="F228" s="108"/>
      <c r="G228" s="108"/>
      <c r="H228" s="234">
        <f t="shared" ref="H228:O228" si="117">H229+H232</f>
        <v>0</v>
      </c>
      <c r="I228" s="234">
        <f t="shared" si="117"/>
        <v>0</v>
      </c>
      <c r="J228" s="234">
        <f t="shared" si="117"/>
        <v>0</v>
      </c>
      <c r="K228" s="234">
        <f t="shared" si="117"/>
        <v>0</v>
      </c>
      <c r="L228" s="235">
        <f t="shared" si="117"/>
        <v>0</v>
      </c>
      <c r="M228" s="235">
        <f t="shared" si="117"/>
        <v>34069.527499999997</v>
      </c>
      <c r="N228" s="235">
        <f t="shared" si="117"/>
        <v>0</v>
      </c>
      <c r="O228" s="235">
        <f t="shared" si="117"/>
        <v>0</v>
      </c>
      <c r="P228" s="235"/>
      <c r="Q228" s="235"/>
      <c r="R228" s="235">
        <v>136.47999999999999</v>
      </c>
      <c r="S228" s="235">
        <f>S229+S232</f>
        <v>0</v>
      </c>
      <c r="T228" s="235">
        <f>T229+T232</f>
        <v>0</v>
      </c>
      <c r="U228" s="235">
        <f>U229+U232</f>
        <v>0</v>
      </c>
      <c r="V228" s="235"/>
      <c r="W228" s="235"/>
      <c r="X228" s="235">
        <f>O228-N228</f>
        <v>0</v>
      </c>
      <c r="Y228" s="236" t="e">
        <f>O228/N228</f>
        <v>#DIV/0!</v>
      </c>
      <c r="Z228" s="235">
        <f t="shared" ref="Z228:AG228" si="118">Z229+Z232</f>
        <v>0</v>
      </c>
      <c r="AA228" s="235">
        <f t="shared" si="118"/>
        <v>25301.008181818179</v>
      </c>
      <c r="AB228" s="235">
        <f t="shared" si="118"/>
        <v>0</v>
      </c>
      <c r="AC228" s="235">
        <f t="shared" si="118"/>
        <v>0</v>
      </c>
      <c r="AD228" s="235">
        <f t="shared" si="118"/>
        <v>0</v>
      </c>
      <c r="AE228" s="235">
        <f t="shared" si="118"/>
        <v>0</v>
      </c>
      <c r="AF228" s="235">
        <f t="shared" si="118"/>
        <v>0</v>
      </c>
      <c r="AG228" s="235">
        <f t="shared" si="118"/>
        <v>0</v>
      </c>
      <c r="AH228" s="235"/>
      <c r="AI228" s="235"/>
      <c r="AJ228" s="235">
        <f>AC228-AB228</f>
        <v>0</v>
      </c>
      <c r="AK228" s="237" t="e">
        <f>AC228/AB228</f>
        <v>#DIV/0!</v>
      </c>
      <c r="AL228" s="235">
        <f t="shared" ref="AL228:AS228" si="119">AL229+AL232</f>
        <v>0</v>
      </c>
      <c r="AM228" s="235">
        <f t="shared" si="119"/>
        <v>25301.008181818179</v>
      </c>
      <c r="AN228" s="235">
        <f t="shared" si="119"/>
        <v>0</v>
      </c>
      <c r="AO228" s="235">
        <f t="shared" si="119"/>
        <v>0</v>
      </c>
      <c r="AP228" s="235">
        <f t="shared" si="119"/>
        <v>0</v>
      </c>
      <c r="AQ228" s="235">
        <f t="shared" si="119"/>
        <v>0</v>
      </c>
      <c r="AR228" s="235">
        <f t="shared" si="119"/>
        <v>0</v>
      </c>
      <c r="AS228" s="235">
        <f t="shared" si="119"/>
        <v>0</v>
      </c>
      <c r="AT228" s="235"/>
      <c r="AU228" s="235"/>
      <c r="AV228" s="235">
        <f>AO228-AN228</f>
        <v>0</v>
      </c>
      <c r="AW228" s="237" t="e">
        <f>AO228/AN228</f>
        <v>#DIV/0!</v>
      </c>
      <c r="AX228" s="101">
        <f>G228/2</f>
        <v>0</v>
      </c>
      <c r="AY228" s="101">
        <f>SUM(AY229:AY231)</f>
        <v>10.66</v>
      </c>
      <c r="AZ228" s="238">
        <f>AZ229+AZ232</f>
        <v>0</v>
      </c>
      <c r="BA228" s="239">
        <f>SUM(BA229:BA231)</f>
        <v>231.66</v>
      </c>
      <c r="BB228" s="239">
        <f t="shared" ref="BB228:BG228" si="120">SUM(BB229:BB231)</f>
        <v>0</v>
      </c>
      <c r="BC228" s="239">
        <f t="shared" si="120"/>
        <v>75.7</v>
      </c>
      <c r="BD228" s="239">
        <f t="shared" si="120"/>
        <v>0</v>
      </c>
      <c r="BE228" s="240">
        <f t="shared" si="120"/>
        <v>20.34</v>
      </c>
      <c r="BF228" s="238">
        <f t="shared" si="120"/>
        <v>16.25</v>
      </c>
      <c r="BG228" s="239">
        <f t="shared" si="120"/>
        <v>0</v>
      </c>
      <c r="BH228" s="239"/>
      <c r="BI228" s="240"/>
      <c r="BJ228" s="417">
        <f>BA228-AZ228</f>
        <v>231.66</v>
      </c>
      <c r="BK228" s="545" t="e">
        <f>BA228/AZ228</f>
        <v>#DIV/0!</v>
      </c>
      <c r="BL228" s="546"/>
      <c r="BM228" s="238">
        <f>BM229+BM232</f>
        <v>25301.003181818181</v>
      </c>
      <c r="BN228" s="239"/>
      <c r="BO228" s="455"/>
      <c r="BP228" s="547"/>
      <c r="BQ228" s="548"/>
      <c r="BR228" s="549"/>
      <c r="BS228" s="550"/>
      <c r="BT228" s="547"/>
      <c r="BU228" s="548"/>
      <c r="BV228" s="549"/>
      <c r="BW228" s="550"/>
      <c r="BX228" s="551">
        <f>BX229</f>
        <v>0</v>
      </c>
      <c r="BY228" s="552">
        <f>F228</f>
        <v>0</v>
      </c>
      <c r="BZ228" s="553">
        <f>M228+BM228+BQ228+BU228</f>
        <v>59370.530681818178</v>
      </c>
      <c r="CA228" s="548">
        <f>BZ228-BY228</f>
        <v>59370.530681818178</v>
      </c>
      <c r="CB228" s="554" t="e">
        <f>BZ228/BY228</f>
        <v>#DIV/0!</v>
      </c>
      <c r="CC228" s="309">
        <f>BZ228-E228</f>
        <v>59370.530681818178</v>
      </c>
      <c r="CD228" s="555">
        <f>CD229+CD232</f>
        <v>1.04</v>
      </c>
      <c r="CE228" s="556">
        <f>CE229+CE232</f>
        <v>0</v>
      </c>
      <c r="CF228" s="557"/>
      <c r="CG228" s="558"/>
      <c r="CH228" s="558"/>
      <c r="CI228" s="558"/>
      <c r="CJ228" s="558"/>
      <c r="CK228" s="558"/>
      <c r="CL228" s="558"/>
      <c r="CM228" s="559"/>
      <c r="CN228" s="559"/>
      <c r="CO228" s="559"/>
      <c r="CP228" s="559"/>
      <c r="CQ228" s="559"/>
      <c r="CR228" s="559"/>
      <c r="CS228" s="559"/>
      <c r="CT228" s="559"/>
      <c r="CU228" s="559"/>
      <c r="CV228" s="559"/>
      <c r="CW228" s="559"/>
      <c r="CX228" s="559"/>
      <c r="CY228" s="559"/>
      <c r="CZ228" s="559"/>
      <c r="DA228" s="101"/>
      <c r="DB228" s="101"/>
      <c r="DC228" s="108"/>
      <c r="DD228" s="108"/>
      <c r="DE228" s="108"/>
    </row>
    <row r="229" spans="1:110" hidden="1">
      <c r="A229" s="177"/>
      <c r="B229" s="187" t="s">
        <v>16</v>
      </c>
      <c r="C229" s="49" t="s">
        <v>54</v>
      </c>
      <c r="D229" s="31"/>
      <c r="E229" s="31"/>
      <c r="F229" s="31"/>
      <c r="G229" s="31"/>
      <c r="H229" s="31"/>
      <c r="I229" s="31"/>
      <c r="J229" s="31"/>
      <c r="K229" s="31"/>
      <c r="L229" s="105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106"/>
      <c r="Z229" s="105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107"/>
      <c r="AL229" s="105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107"/>
      <c r="AX229" s="108"/>
      <c r="AY229" s="31">
        <v>8.02</v>
      </c>
      <c r="AZ229" s="109"/>
      <c r="BA229" s="62">
        <v>7.24</v>
      </c>
      <c r="BB229" s="62"/>
      <c r="BC229" s="62">
        <v>7.08</v>
      </c>
      <c r="BD229" s="62"/>
      <c r="BE229" s="110">
        <v>0.61</v>
      </c>
      <c r="BF229" s="109">
        <v>1.42</v>
      </c>
      <c r="BG229" s="62"/>
      <c r="BH229" s="62"/>
      <c r="BI229" s="110"/>
      <c r="BJ229" s="426"/>
      <c r="BK229" s="427"/>
      <c r="BL229" s="560"/>
      <c r="BM229" s="2"/>
      <c r="BN229" s="12"/>
      <c r="BO229" s="585"/>
      <c r="BP229" s="14"/>
      <c r="BQ229" s="15"/>
      <c r="BR229" s="563"/>
      <c r="BS229" s="17"/>
      <c r="BT229" s="14"/>
      <c r="BU229" s="15"/>
      <c r="BV229" s="563"/>
      <c r="BW229" s="17"/>
      <c r="BX229" s="18"/>
      <c r="BY229" s="19"/>
      <c r="BZ229" s="20"/>
      <c r="CA229" s="564"/>
      <c r="CB229" s="21"/>
      <c r="CC229" s="22"/>
      <c r="CD229" s="598"/>
      <c r="CE229" s="599"/>
      <c r="CF229" s="24"/>
      <c r="CG229" s="74"/>
      <c r="CH229" s="74"/>
      <c r="CI229" s="74"/>
      <c r="CJ229" s="74"/>
      <c r="CK229" s="74"/>
      <c r="CL229" s="74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31">
        <v>17.329999999999998</v>
      </c>
      <c r="DB229" s="31"/>
      <c r="DC229" s="31">
        <v>16</v>
      </c>
      <c r="DD229" s="31">
        <v>26.83</v>
      </c>
      <c r="DE229" s="31">
        <v>16</v>
      </c>
    </row>
    <row r="230" spans="1:110" hidden="1">
      <c r="A230" s="177"/>
      <c r="B230" s="187" t="s">
        <v>317</v>
      </c>
      <c r="C230" s="49" t="s">
        <v>54</v>
      </c>
      <c r="D230" s="31"/>
      <c r="E230" s="31"/>
      <c r="F230" s="31"/>
      <c r="G230" s="31"/>
      <c r="H230" s="31"/>
      <c r="I230" s="31"/>
      <c r="J230" s="31"/>
      <c r="K230" s="31"/>
      <c r="L230" s="105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106"/>
      <c r="Z230" s="105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107"/>
      <c r="AL230" s="105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107"/>
      <c r="AX230" s="108"/>
      <c r="AY230" s="31">
        <v>0.34</v>
      </c>
      <c r="AZ230" s="109"/>
      <c r="BA230" s="62">
        <v>49.14</v>
      </c>
      <c r="BB230" s="62"/>
      <c r="BC230" s="62">
        <v>15.31</v>
      </c>
      <c r="BD230" s="62"/>
      <c r="BE230" s="110">
        <v>5.41</v>
      </c>
      <c r="BF230" s="109">
        <v>2.41</v>
      </c>
      <c r="BG230" s="62"/>
      <c r="BH230" s="62"/>
      <c r="BI230" s="110"/>
      <c r="BJ230" s="426"/>
      <c r="BK230" s="427"/>
      <c r="BL230" s="560"/>
      <c r="BM230" s="2"/>
      <c r="BN230" s="12"/>
      <c r="BO230" s="585"/>
      <c r="BP230" s="14"/>
      <c r="BQ230" s="15"/>
      <c r="BR230" s="563"/>
      <c r="BS230" s="17"/>
      <c r="BT230" s="14"/>
      <c r="BU230" s="15"/>
      <c r="BV230" s="563"/>
      <c r="BW230" s="17"/>
      <c r="BX230" s="18"/>
      <c r="BY230" s="19"/>
      <c r="BZ230" s="20"/>
      <c r="CA230" s="564"/>
      <c r="CB230" s="21"/>
      <c r="CC230" s="22"/>
      <c r="CD230" s="598"/>
      <c r="CE230" s="599"/>
      <c r="CF230" s="24"/>
      <c r="CG230" s="74"/>
      <c r="CH230" s="74"/>
      <c r="CI230" s="74"/>
      <c r="CJ230" s="74"/>
      <c r="CK230" s="74"/>
      <c r="CL230" s="74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31">
        <v>76.599999999999994</v>
      </c>
      <c r="DB230" s="31"/>
      <c r="DC230" s="31">
        <v>1.5</v>
      </c>
      <c r="DD230" s="31">
        <v>13.38</v>
      </c>
      <c r="DE230" s="31">
        <v>1.5</v>
      </c>
    </row>
    <row r="231" spans="1:110" hidden="1">
      <c r="A231" s="177"/>
      <c r="B231" s="187" t="s">
        <v>18</v>
      </c>
      <c r="C231" s="49" t="s">
        <v>54</v>
      </c>
      <c r="D231" s="31"/>
      <c r="E231" s="31"/>
      <c r="F231" s="31"/>
      <c r="G231" s="31"/>
      <c r="H231" s="31"/>
      <c r="I231" s="31"/>
      <c r="J231" s="31"/>
      <c r="K231" s="31"/>
      <c r="L231" s="105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106"/>
      <c r="Z231" s="105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107"/>
      <c r="AL231" s="105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107"/>
      <c r="AX231" s="108"/>
      <c r="AY231" s="31">
        <v>2.2999999999999998</v>
      </c>
      <c r="AZ231" s="109"/>
      <c r="BA231" s="62">
        <v>175.28</v>
      </c>
      <c r="BB231" s="62"/>
      <c r="BC231" s="62">
        <v>53.31</v>
      </c>
      <c r="BD231" s="62"/>
      <c r="BE231" s="110">
        <v>14.32</v>
      </c>
      <c r="BF231" s="109">
        <v>12.42</v>
      </c>
      <c r="BG231" s="62"/>
      <c r="BH231" s="62"/>
      <c r="BI231" s="110"/>
      <c r="BJ231" s="426"/>
      <c r="BK231" s="427"/>
      <c r="BL231" s="560"/>
      <c r="BM231" s="2"/>
      <c r="BN231" s="12"/>
      <c r="BO231" s="585"/>
      <c r="BP231" s="14"/>
      <c r="BQ231" s="15"/>
      <c r="BR231" s="563"/>
      <c r="BS231" s="17"/>
      <c r="BT231" s="14"/>
      <c r="BU231" s="15"/>
      <c r="BV231" s="563"/>
      <c r="BW231" s="17"/>
      <c r="BX231" s="18"/>
      <c r="BY231" s="19"/>
      <c r="BZ231" s="20"/>
      <c r="CA231" s="564"/>
      <c r="CB231" s="21"/>
      <c r="CC231" s="22"/>
      <c r="CD231" s="598"/>
      <c r="CE231" s="599"/>
      <c r="CF231" s="24"/>
      <c r="CG231" s="74"/>
      <c r="CH231" s="74"/>
      <c r="CI231" s="74"/>
      <c r="CJ231" s="74"/>
      <c r="CK231" s="74"/>
      <c r="CL231" s="74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31">
        <v>270.64999999999998</v>
      </c>
      <c r="DB231" s="31"/>
      <c r="DC231" s="31">
        <v>5</v>
      </c>
      <c r="DD231" s="31"/>
      <c r="DE231" s="31">
        <v>5</v>
      </c>
    </row>
    <row r="232" spans="1:110" hidden="1">
      <c r="A232" s="247" t="s">
        <v>324</v>
      </c>
      <c r="B232" s="248" t="s">
        <v>22</v>
      </c>
      <c r="C232" s="259" t="s">
        <v>54</v>
      </c>
      <c r="D232" s="108">
        <f>SUM(D233)</f>
        <v>259.38</v>
      </c>
      <c r="E232" s="108">
        <f>SUM(E233)</f>
        <v>214.35</v>
      </c>
      <c r="F232" s="108">
        <v>214.35</v>
      </c>
      <c r="G232" s="108">
        <v>214.35</v>
      </c>
      <c r="H232" s="251">
        <f t="shared" ref="H232:O232" si="121">H233+H269</f>
        <v>0</v>
      </c>
      <c r="I232" s="251">
        <f t="shared" si="121"/>
        <v>0</v>
      </c>
      <c r="J232" s="251">
        <f t="shared" si="121"/>
        <v>0</v>
      </c>
      <c r="K232" s="251">
        <f t="shared" si="121"/>
        <v>0</v>
      </c>
      <c r="L232" s="233">
        <f t="shared" si="121"/>
        <v>0</v>
      </c>
      <c r="M232" s="233">
        <f t="shared" si="121"/>
        <v>34069.527499999997</v>
      </c>
      <c r="N232" s="233">
        <f t="shared" si="121"/>
        <v>0</v>
      </c>
      <c r="O232" s="233">
        <f t="shared" si="121"/>
        <v>0</v>
      </c>
      <c r="P232" s="233"/>
      <c r="Q232" s="233"/>
      <c r="R232" s="233">
        <v>136.47999999999999</v>
      </c>
      <c r="S232" s="233">
        <f>S233+S269</f>
        <v>0</v>
      </c>
      <c r="T232" s="233">
        <f>T233+T269</f>
        <v>0</v>
      </c>
      <c r="U232" s="233">
        <f>U233+U269</f>
        <v>0</v>
      </c>
      <c r="V232" s="233"/>
      <c r="W232" s="233"/>
      <c r="X232" s="233">
        <f>O232-N232</f>
        <v>0</v>
      </c>
      <c r="Y232" s="252" t="e">
        <f>O232/N232</f>
        <v>#DIV/0!</v>
      </c>
      <c r="Z232" s="233">
        <f t="shared" ref="Z232:AG232" si="122">Z233+Z269</f>
        <v>0</v>
      </c>
      <c r="AA232" s="233">
        <f t="shared" si="122"/>
        <v>25301.008181818179</v>
      </c>
      <c r="AB232" s="233">
        <f t="shared" si="122"/>
        <v>0</v>
      </c>
      <c r="AC232" s="233">
        <f t="shared" si="122"/>
        <v>0</v>
      </c>
      <c r="AD232" s="233">
        <f t="shared" si="122"/>
        <v>0</v>
      </c>
      <c r="AE232" s="233">
        <f t="shared" si="122"/>
        <v>0</v>
      </c>
      <c r="AF232" s="233">
        <f t="shared" si="122"/>
        <v>0</v>
      </c>
      <c r="AG232" s="233">
        <f t="shared" si="122"/>
        <v>0</v>
      </c>
      <c r="AH232" s="233"/>
      <c r="AI232" s="233"/>
      <c r="AJ232" s="233">
        <f>AC232-AB232</f>
        <v>0</v>
      </c>
      <c r="AK232" s="253" t="e">
        <f>AC232/AB232</f>
        <v>#DIV/0!</v>
      </c>
      <c r="AL232" s="233">
        <f t="shared" ref="AL232:AS232" si="123">AL233+AL269</f>
        <v>0</v>
      </c>
      <c r="AM232" s="233">
        <f t="shared" si="123"/>
        <v>25301.008181818179</v>
      </c>
      <c r="AN232" s="233">
        <f t="shared" si="123"/>
        <v>0</v>
      </c>
      <c r="AO232" s="233">
        <f t="shared" si="123"/>
        <v>0</v>
      </c>
      <c r="AP232" s="233">
        <f t="shared" si="123"/>
        <v>0</v>
      </c>
      <c r="AQ232" s="233">
        <f t="shared" si="123"/>
        <v>0</v>
      </c>
      <c r="AR232" s="233">
        <f t="shared" si="123"/>
        <v>0</v>
      </c>
      <c r="AS232" s="233">
        <f t="shared" si="123"/>
        <v>0</v>
      </c>
      <c r="AT232" s="233"/>
      <c r="AU232" s="233"/>
      <c r="AV232" s="233">
        <f>AO232-AN232</f>
        <v>0</v>
      </c>
      <c r="AW232" s="253" t="e">
        <f>AO232/AN232</f>
        <v>#DIV/0!</v>
      </c>
      <c r="AX232" s="233">
        <f>G232/2</f>
        <v>107.175</v>
      </c>
      <c r="AY232" s="233">
        <v>202.74</v>
      </c>
      <c r="AZ232" s="254">
        <f>AZ233+AZ269</f>
        <v>0</v>
      </c>
      <c r="BA232" s="255">
        <f>SUM(BA233)</f>
        <v>143.63999999999999</v>
      </c>
      <c r="BB232" s="255">
        <f t="shared" ref="BB232:BG232" si="124">SUM(BB233)</f>
        <v>0</v>
      </c>
      <c r="BC232" s="255">
        <f t="shared" si="124"/>
        <v>56.47</v>
      </c>
      <c r="BD232" s="255">
        <f t="shared" si="124"/>
        <v>0</v>
      </c>
      <c r="BE232" s="256">
        <f t="shared" si="124"/>
        <v>8</v>
      </c>
      <c r="BF232" s="254">
        <f t="shared" si="124"/>
        <v>4.2</v>
      </c>
      <c r="BG232" s="255">
        <f t="shared" si="124"/>
        <v>0</v>
      </c>
      <c r="BH232" s="255"/>
      <c r="BI232" s="256"/>
      <c r="BJ232" s="578">
        <f>BA232-AZ232</f>
        <v>143.63999999999999</v>
      </c>
      <c r="BK232" s="579" t="e">
        <f>BA232/AZ232</f>
        <v>#DIV/0!</v>
      </c>
      <c r="BL232" s="580"/>
      <c r="BM232" s="238">
        <f>BM233+BM269</f>
        <v>25301.003181818181</v>
      </c>
      <c r="BN232" s="239"/>
      <c r="BO232" s="455"/>
      <c r="BP232" s="547"/>
      <c r="BQ232" s="548"/>
      <c r="BR232" s="549"/>
      <c r="BS232" s="550"/>
      <c r="BT232" s="547"/>
      <c r="BU232" s="548"/>
      <c r="BV232" s="549"/>
      <c r="BW232" s="550"/>
      <c r="BX232" s="551">
        <f>BX233</f>
        <v>0</v>
      </c>
      <c r="BY232" s="552">
        <f>F232</f>
        <v>214.35</v>
      </c>
      <c r="BZ232" s="553">
        <f>M232+BM232+BQ232+BU232</f>
        <v>59370.530681818178</v>
      </c>
      <c r="CA232" s="548">
        <f>BZ232-BY232</f>
        <v>59156.180681818179</v>
      </c>
      <c r="CB232" s="554">
        <f>BZ232/BY232</f>
        <v>276.97938270034138</v>
      </c>
      <c r="CC232" s="309">
        <f>BZ232-E232</f>
        <v>59156.180681818179</v>
      </c>
      <c r="CD232" s="555">
        <f>CD233+CD269</f>
        <v>1.04</v>
      </c>
      <c r="CE232" s="556">
        <f>CE233+CE269</f>
        <v>0</v>
      </c>
      <c r="CF232" s="557"/>
      <c r="CG232" s="558"/>
      <c r="CH232" s="558"/>
      <c r="CI232" s="558"/>
      <c r="CJ232" s="558"/>
      <c r="CK232" s="558"/>
      <c r="CL232" s="558"/>
      <c r="CM232" s="559"/>
      <c r="CN232" s="559"/>
      <c r="CO232" s="559"/>
      <c r="CP232" s="559"/>
      <c r="CQ232" s="559"/>
      <c r="CR232" s="559"/>
      <c r="CS232" s="559"/>
      <c r="CT232" s="559"/>
      <c r="CU232" s="559"/>
      <c r="CV232" s="559"/>
      <c r="CW232" s="559"/>
      <c r="CX232" s="559"/>
      <c r="CY232" s="559"/>
      <c r="CZ232" s="559"/>
      <c r="DA232" s="233">
        <f>SUM(DA233)</f>
        <v>214.35</v>
      </c>
      <c r="DB232" s="233">
        <f>SUM(DB233)</f>
        <v>214.35</v>
      </c>
      <c r="DC232" s="108"/>
      <c r="DD232" s="108"/>
      <c r="DE232" s="108"/>
    </row>
    <row r="233" spans="1:110" hidden="1">
      <c r="A233" s="177"/>
      <c r="B233" s="187" t="s">
        <v>42</v>
      </c>
      <c r="C233" s="49" t="s">
        <v>54</v>
      </c>
      <c r="D233" s="31">
        <v>259.38</v>
      </c>
      <c r="E233" s="31">
        <v>214.35</v>
      </c>
      <c r="F233" s="31">
        <v>214.35</v>
      </c>
      <c r="G233" s="31">
        <v>214.35</v>
      </c>
      <c r="H233" s="31"/>
      <c r="I233" s="31"/>
      <c r="J233" s="31"/>
      <c r="K233" s="31"/>
      <c r="L233" s="105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106"/>
      <c r="Z233" s="105"/>
      <c r="AA233" s="31">
        <v>0.51</v>
      </c>
      <c r="AB233" s="31"/>
      <c r="AC233" s="31"/>
      <c r="AD233" s="31"/>
      <c r="AE233" s="31"/>
      <c r="AF233" s="31"/>
      <c r="AG233" s="31"/>
      <c r="AH233" s="31"/>
      <c r="AI233" s="31"/>
      <c r="AJ233" s="31"/>
      <c r="AK233" s="107"/>
      <c r="AL233" s="105"/>
      <c r="AM233" s="31">
        <v>0.51</v>
      </c>
      <c r="AN233" s="31"/>
      <c r="AO233" s="31"/>
      <c r="AP233" s="31"/>
      <c r="AQ233" s="31"/>
      <c r="AR233" s="31"/>
      <c r="AS233" s="31"/>
      <c r="AT233" s="31"/>
      <c r="AU233" s="31"/>
      <c r="AV233" s="31"/>
      <c r="AW233" s="107"/>
      <c r="AX233" s="108"/>
      <c r="AY233" s="31">
        <v>202.74</v>
      </c>
      <c r="AZ233" s="109"/>
      <c r="BA233" s="62">
        <v>143.63999999999999</v>
      </c>
      <c r="BB233" s="62"/>
      <c r="BC233" s="62">
        <v>56.47</v>
      </c>
      <c r="BD233" s="62"/>
      <c r="BE233" s="110">
        <v>8</v>
      </c>
      <c r="BF233" s="109">
        <v>4.2</v>
      </c>
      <c r="BG233" s="62"/>
      <c r="BH233" s="62"/>
      <c r="BI233" s="110"/>
      <c r="BJ233" s="426">
        <f>BA233-AZ233</f>
        <v>143.63999999999999</v>
      </c>
      <c r="BK233" s="427"/>
      <c r="BL233" s="560"/>
      <c r="BM233" s="149">
        <v>0.505</v>
      </c>
      <c r="BN233" s="150"/>
      <c r="BO233" s="484"/>
      <c r="BP233" s="485"/>
      <c r="BQ233" s="483"/>
      <c r="BR233" s="486"/>
      <c r="BS233" s="487"/>
      <c r="BT233" s="485"/>
      <c r="BU233" s="483"/>
      <c r="BV233" s="486"/>
      <c r="BW233" s="487"/>
      <c r="BX233" s="440"/>
      <c r="BY233" s="488"/>
      <c r="BZ233" s="489">
        <f>M233+BM233+BQ233+BU233</f>
        <v>0.505</v>
      </c>
      <c r="CA233" s="490"/>
      <c r="CB233" s="491"/>
      <c r="CC233" s="246">
        <f>BZ233-E233</f>
        <v>-213.845</v>
      </c>
      <c r="CD233" s="581">
        <v>1.04</v>
      </c>
      <c r="CE233" s="582"/>
      <c r="CF233" s="492"/>
      <c r="CG233" s="74"/>
      <c r="CH233" s="74"/>
      <c r="CI233" s="74"/>
      <c r="CJ233" s="74"/>
      <c r="CK233" s="74"/>
      <c r="CL233" s="74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31">
        <v>214.35</v>
      </c>
      <c r="DB233" s="31">
        <v>214.35</v>
      </c>
      <c r="DC233" s="31">
        <v>214.35</v>
      </c>
      <c r="DD233" s="31">
        <v>229.37</v>
      </c>
      <c r="DE233" s="31">
        <f>250.35+11.26</f>
        <v>261.61</v>
      </c>
      <c r="DF233" s="768"/>
    </row>
    <row r="234" spans="1:110">
      <c r="A234" s="257" t="s">
        <v>269</v>
      </c>
      <c r="B234" s="258" t="s">
        <v>161</v>
      </c>
      <c r="C234" s="259" t="s">
        <v>54</v>
      </c>
      <c r="D234" s="108">
        <f>SUM(D235,D240,D245,D249,D255)</f>
        <v>2560.8000000000002</v>
      </c>
      <c r="E234" s="108">
        <f>SUM(E235,E240,E245,E249,E255)</f>
        <v>2356.88</v>
      </c>
      <c r="F234" s="108">
        <f>SUM(F235,F240,F245,F249,F255)</f>
        <v>2356.88</v>
      </c>
      <c r="G234" s="108">
        <f>SUM(G235,G240,G245,G249,G255)</f>
        <v>2356.88</v>
      </c>
      <c r="H234" s="108"/>
      <c r="I234" s="108"/>
      <c r="J234" s="108"/>
      <c r="K234" s="108"/>
      <c r="L234" s="260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261"/>
      <c r="Z234" s="260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262"/>
      <c r="AL234" s="260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262"/>
      <c r="AX234" s="108"/>
      <c r="AY234" s="108">
        <f>SUM(AY235,AY240,AY245,AY249,AY255)</f>
        <v>2311.06</v>
      </c>
      <c r="AZ234" s="263"/>
      <c r="BA234" s="264">
        <f>SUM(BA235,BA240,BA245,BA249,BA255)</f>
        <v>1456.0900000000001</v>
      </c>
      <c r="BB234" s="264">
        <f t="shared" ref="BB234:BG234" si="125">SUM(BB235,BB240,BB245,BB249,BB255)</f>
        <v>0</v>
      </c>
      <c r="BC234" s="264">
        <f t="shared" si="125"/>
        <v>591.67049999999995</v>
      </c>
      <c r="BD234" s="264">
        <f t="shared" si="125"/>
        <v>0</v>
      </c>
      <c r="BE234" s="265">
        <f t="shared" si="125"/>
        <v>164.45</v>
      </c>
      <c r="BF234" s="263">
        <f t="shared" si="125"/>
        <v>219.62</v>
      </c>
      <c r="BG234" s="264">
        <f t="shared" si="125"/>
        <v>40.007499999999993</v>
      </c>
      <c r="BH234" s="264"/>
      <c r="BI234" s="265"/>
      <c r="BJ234" s="426"/>
      <c r="BK234" s="583"/>
      <c r="BL234" s="584"/>
      <c r="BM234" s="254"/>
      <c r="BN234" s="255"/>
      <c r="BO234" s="585"/>
      <c r="BP234" s="586"/>
      <c r="BQ234" s="587"/>
      <c r="BR234" s="588"/>
      <c r="BS234" s="589"/>
      <c r="BT234" s="586"/>
      <c r="BU234" s="587"/>
      <c r="BV234" s="588"/>
      <c r="BW234" s="589"/>
      <c r="BX234" s="590"/>
      <c r="BY234" s="591"/>
      <c r="BZ234" s="592"/>
      <c r="CA234" s="593"/>
      <c r="CB234" s="594"/>
      <c r="CC234" s="250"/>
      <c r="CD234" s="595"/>
      <c r="CE234" s="596"/>
      <c r="CF234" s="597"/>
      <c r="CG234" s="558"/>
      <c r="CH234" s="558"/>
      <c r="CI234" s="558"/>
      <c r="CJ234" s="558"/>
      <c r="CK234" s="558"/>
      <c r="CL234" s="558"/>
      <c r="CM234" s="559"/>
      <c r="CN234" s="559"/>
      <c r="CO234" s="559"/>
      <c r="CP234" s="559"/>
      <c r="CQ234" s="559"/>
      <c r="CR234" s="559"/>
      <c r="CS234" s="559"/>
      <c r="CT234" s="559"/>
      <c r="CU234" s="559"/>
      <c r="CV234" s="559"/>
      <c r="CW234" s="559"/>
      <c r="CX234" s="559"/>
      <c r="CY234" s="559"/>
      <c r="CZ234" s="559"/>
      <c r="DA234" s="108">
        <f>SUM(DA235,DA240,DA245,DA249,DA255)</f>
        <v>2356.8750800000003</v>
      </c>
      <c r="DB234" s="108">
        <f>SUM(DB235,DB240,DB245,DB249,DB255)</f>
        <v>2356.8750799999998</v>
      </c>
      <c r="DC234" s="108">
        <f>SUM(DC235,DC240,DC245,DC249,DC255)</f>
        <v>2471.703</v>
      </c>
      <c r="DD234" s="108">
        <f>SUM(DD235,DD240,DD245,DD249,DD255)</f>
        <v>2404.9030000000002</v>
      </c>
      <c r="DE234" s="108">
        <f>SUM(DE235,DE240,DE245,DE249,DE255)</f>
        <v>2510.0690800000002</v>
      </c>
    </row>
    <row r="235" spans="1:110">
      <c r="A235" s="257" t="s">
        <v>270</v>
      </c>
      <c r="B235" s="178" t="s">
        <v>2</v>
      </c>
      <c r="C235" s="259" t="s">
        <v>54</v>
      </c>
      <c r="D235" s="108">
        <f>SUM(D236,D239)</f>
        <v>869</v>
      </c>
      <c r="E235" s="108">
        <f>SUM(E236,E239)</f>
        <v>869</v>
      </c>
      <c r="F235" s="108">
        <f>SUM(F236,F239)</f>
        <v>869</v>
      </c>
      <c r="G235" s="108">
        <f>SUM(G236,G239)</f>
        <v>869</v>
      </c>
      <c r="H235" s="260">
        <f t="shared" ref="H235:U235" si="126">H236+H239</f>
        <v>0</v>
      </c>
      <c r="I235" s="260">
        <f t="shared" si="126"/>
        <v>0</v>
      </c>
      <c r="J235" s="260">
        <f t="shared" si="126"/>
        <v>0</v>
      </c>
      <c r="K235" s="260">
        <f t="shared" si="126"/>
        <v>0</v>
      </c>
      <c r="L235" s="108">
        <f t="shared" si="126"/>
        <v>0</v>
      </c>
      <c r="M235" s="108">
        <f t="shared" si="126"/>
        <v>0</v>
      </c>
      <c r="N235" s="108">
        <f t="shared" si="126"/>
        <v>0</v>
      </c>
      <c r="O235" s="108">
        <f t="shared" si="126"/>
        <v>0</v>
      </c>
      <c r="P235" s="108"/>
      <c r="Q235" s="108"/>
      <c r="R235" s="108">
        <v>136.47999999999999</v>
      </c>
      <c r="S235" s="108">
        <f t="shared" si="126"/>
        <v>0</v>
      </c>
      <c r="T235" s="108">
        <f t="shared" si="126"/>
        <v>0</v>
      </c>
      <c r="U235" s="108">
        <f t="shared" si="126"/>
        <v>0</v>
      </c>
      <c r="V235" s="108"/>
      <c r="W235" s="108"/>
      <c r="X235" s="108">
        <f>O235-N235</f>
        <v>0</v>
      </c>
      <c r="Y235" s="261" t="e">
        <f>O235/N235</f>
        <v>#DIV/0!</v>
      </c>
      <c r="Z235" s="108">
        <f t="shared" ref="Z235:AG235" si="127">Z236+Z239</f>
        <v>0</v>
      </c>
      <c r="AA235" s="108">
        <f t="shared" si="127"/>
        <v>0</v>
      </c>
      <c r="AB235" s="108">
        <f t="shared" si="127"/>
        <v>0</v>
      </c>
      <c r="AC235" s="108">
        <f t="shared" si="127"/>
        <v>0</v>
      </c>
      <c r="AD235" s="108">
        <f t="shared" si="127"/>
        <v>0</v>
      </c>
      <c r="AE235" s="108">
        <f t="shared" si="127"/>
        <v>0</v>
      </c>
      <c r="AF235" s="108">
        <f t="shared" si="127"/>
        <v>0</v>
      </c>
      <c r="AG235" s="108">
        <f t="shared" si="127"/>
        <v>0</v>
      </c>
      <c r="AH235" s="108"/>
      <c r="AI235" s="108"/>
      <c r="AJ235" s="108">
        <f>AC235-AB235</f>
        <v>0</v>
      </c>
      <c r="AK235" s="262" t="e">
        <f>AC235/AB235</f>
        <v>#DIV/0!</v>
      </c>
      <c r="AL235" s="108">
        <f t="shared" ref="AL235:AS235" si="128">AL236+AL239</f>
        <v>0</v>
      </c>
      <c r="AM235" s="108">
        <f t="shared" si="128"/>
        <v>0</v>
      </c>
      <c r="AN235" s="108">
        <f t="shared" si="128"/>
        <v>0</v>
      </c>
      <c r="AO235" s="108">
        <f t="shared" si="128"/>
        <v>0</v>
      </c>
      <c r="AP235" s="108">
        <f t="shared" si="128"/>
        <v>0</v>
      </c>
      <c r="AQ235" s="108">
        <f t="shared" si="128"/>
        <v>0</v>
      </c>
      <c r="AR235" s="108">
        <f t="shared" si="128"/>
        <v>0</v>
      </c>
      <c r="AS235" s="108">
        <f t="shared" si="128"/>
        <v>0</v>
      </c>
      <c r="AT235" s="108"/>
      <c r="AU235" s="108"/>
      <c r="AV235" s="108">
        <f>AO235-AN235</f>
        <v>0</v>
      </c>
      <c r="AW235" s="262" t="e">
        <f>AO235/AN235</f>
        <v>#DIV/0!</v>
      </c>
      <c r="AX235" s="108">
        <f>G235/2</f>
        <v>434.5</v>
      </c>
      <c r="AY235" s="108">
        <f t="shared" ref="AY235:BE235" si="129">AY236+AY239</f>
        <v>868.99999999999989</v>
      </c>
      <c r="AZ235" s="263">
        <f t="shared" si="129"/>
        <v>0</v>
      </c>
      <c r="BA235" s="264">
        <f>BA236+BA239</f>
        <v>589.61</v>
      </c>
      <c r="BB235" s="264">
        <f t="shared" si="129"/>
        <v>0</v>
      </c>
      <c r="BC235" s="264">
        <f t="shared" si="129"/>
        <v>263.37049999999999</v>
      </c>
      <c r="BD235" s="264">
        <f t="shared" si="129"/>
        <v>0</v>
      </c>
      <c r="BE235" s="265">
        <f t="shared" si="129"/>
        <v>16.02</v>
      </c>
      <c r="BF235" s="263">
        <f>BF236+BF239</f>
        <v>131.77000000000001</v>
      </c>
      <c r="BG235" s="264">
        <f>BG236+BG239</f>
        <v>39.097499999999997</v>
      </c>
      <c r="BH235" s="264"/>
      <c r="BI235" s="265"/>
      <c r="BJ235" s="426">
        <f>BA235-AZ235</f>
        <v>589.61</v>
      </c>
      <c r="BK235" s="583" t="e">
        <f>BA235/AZ235</f>
        <v>#DIV/0!</v>
      </c>
      <c r="BL235" s="584"/>
      <c r="BM235" s="238">
        <f>BM236+BM239</f>
        <v>0</v>
      </c>
      <c r="BN235" s="239"/>
      <c r="BO235" s="455"/>
      <c r="BP235" s="547"/>
      <c r="BQ235" s="548"/>
      <c r="BR235" s="549"/>
      <c r="BS235" s="550"/>
      <c r="BT235" s="547"/>
      <c r="BU235" s="548"/>
      <c r="BV235" s="549"/>
      <c r="BW235" s="550"/>
      <c r="BX235" s="551">
        <f>BX236</f>
        <v>0</v>
      </c>
      <c r="BY235" s="552">
        <f>F235</f>
        <v>869</v>
      </c>
      <c r="BZ235" s="553">
        <f>M235+BM235+BQ235+BU235</f>
        <v>0</v>
      </c>
      <c r="CA235" s="548">
        <f>BZ235-BY235</f>
        <v>-869</v>
      </c>
      <c r="CB235" s="554">
        <f>BZ235/BY235</f>
        <v>0</v>
      </c>
      <c r="CC235" s="309">
        <f>BZ235-E235</f>
        <v>-869</v>
      </c>
      <c r="CD235" s="555">
        <f>CD236+CD239</f>
        <v>0</v>
      </c>
      <c r="CE235" s="556">
        <f>CE236+CE239</f>
        <v>0</v>
      </c>
      <c r="CF235" s="557"/>
      <c r="CG235" s="558"/>
      <c r="CH235" s="558"/>
      <c r="CI235" s="558"/>
      <c r="CJ235" s="558"/>
      <c r="CK235" s="558"/>
      <c r="CL235" s="558"/>
      <c r="CM235" s="559"/>
      <c r="CN235" s="559"/>
      <c r="CO235" s="559"/>
      <c r="CP235" s="559"/>
      <c r="CQ235" s="559"/>
      <c r="CR235" s="559"/>
      <c r="CS235" s="559"/>
      <c r="CT235" s="559"/>
      <c r="CU235" s="559"/>
      <c r="CV235" s="559"/>
      <c r="CW235" s="559"/>
      <c r="CX235" s="559"/>
      <c r="CY235" s="559"/>
      <c r="CZ235" s="559"/>
      <c r="DA235" s="108">
        <f>DA236+DA239</f>
        <v>868.99908000000005</v>
      </c>
      <c r="DB235" s="108">
        <f>DB236+DB239</f>
        <v>868.99908000000005</v>
      </c>
      <c r="DC235" s="108">
        <f>SUM(DC236,DC239)</f>
        <v>869.00300000000004</v>
      </c>
      <c r="DD235" s="108">
        <f>SUM(DD236,DD239)</f>
        <v>869.00300000000004</v>
      </c>
      <c r="DE235" s="108">
        <f>SUM(DE236,DE239)</f>
        <v>868.99908000000005</v>
      </c>
    </row>
    <row r="236" spans="1:110">
      <c r="A236" s="165"/>
      <c r="B236" s="32" t="s">
        <v>3</v>
      </c>
      <c r="C236" s="97" t="s">
        <v>54</v>
      </c>
      <c r="D236" s="33">
        <v>722.36</v>
      </c>
      <c r="E236" s="33">
        <v>722.36</v>
      </c>
      <c r="F236" s="33">
        <v>722.36</v>
      </c>
      <c r="G236" s="33">
        <v>722.36</v>
      </c>
      <c r="H236" s="33"/>
      <c r="I236" s="33"/>
      <c r="J236" s="33"/>
      <c r="K236" s="33"/>
      <c r="L236" s="98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99"/>
      <c r="Z236" s="98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100"/>
      <c r="AL236" s="98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100"/>
      <c r="AX236" s="101"/>
      <c r="AY236" s="31">
        <f>588.13+219.36-17.82-67.31</f>
        <v>722.3599999999999</v>
      </c>
      <c r="AZ236" s="102"/>
      <c r="BA236" s="103">
        <v>490.11</v>
      </c>
      <c r="BB236" s="103"/>
      <c r="BC236" s="103">
        <v>218.93049999999999</v>
      </c>
      <c r="BD236" s="103"/>
      <c r="BE236" s="104">
        <v>13.32</v>
      </c>
      <c r="BF236" s="102">
        <v>109.39</v>
      </c>
      <c r="BG236" s="103">
        <v>32.5</v>
      </c>
      <c r="BH236" s="103"/>
      <c r="BI236" s="104"/>
      <c r="BJ236" s="417"/>
      <c r="BK236" s="418"/>
      <c r="BL236" s="36"/>
      <c r="BM236" s="2"/>
      <c r="BN236" s="12"/>
      <c r="BO236" s="585"/>
      <c r="BP236" s="14"/>
      <c r="BQ236" s="15"/>
      <c r="BR236" s="563"/>
      <c r="BS236" s="17"/>
      <c r="BT236" s="14"/>
      <c r="BU236" s="15"/>
      <c r="BV236" s="563"/>
      <c r="BW236" s="17"/>
      <c r="BX236" s="18"/>
      <c r="BY236" s="19"/>
      <c r="BZ236" s="20"/>
      <c r="CA236" s="564"/>
      <c r="CB236" s="21"/>
      <c r="CC236" s="22"/>
      <c r="CD236" s="598"/>
      <c r="CE236" s="599"/>
      <c r="CF236" s="24"/>
      <c r="CG236" s="74"/>
      <c r="CH236" s="74"/>
      <c r="CI236" s="74"/>
      <c r="CJ236" s="74"/>
      <c r="CK236" s="74"/>
      <c r="CL236" s="74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31">
        <v>722.36</v>
      </c>
      <c r="DB236" s="31">
        <v>722.36</v>
      </c>
      <c r="DC236" s="33">
        <v>722.36</v>
      </c>
      <c r="DD236" s="33">
        <v>722.36</v>
      </c>
      <c r="DE236" s="33">
        <v>722.36</v>
      </c>
    </row>
    <row r="237" spans="1:110">
      <c r="A237" s="177"/>
      <c r="B237" s="212" t="s">
        <v>38</v>
      </c>
      <c r="C237" s="49" t="s">
        <v>82</v>
      </c>
      <c r="D237" s="31">
        <v>3</v>
      </c>
      <c r="E237" s="31">
        <v>3</v>
      </c>
      <c r="F237" s="31">
        <v>3</v>
      </c>
      <c r="G237" s="31">
        <v>3</v>
      </c>
      <c r="H237" s="31"/>
      <c r="I237" s="31"/>
      <c r="J237" s="31"/>
      <c r="K237" s="31"/>
      <c r="L237" s="105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106"/>
      <c r="Z237" s="105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107"/>
      <c r="AL237" s="105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107"/>
      <c r="AX237" s="108"/>
      <c r="AY237" s="31">
        <v>3</v>
      </c>
      <c r="AZ237" s="109"/>
      <c r="BA237" s="62"/>
      <c r="BB237" s="62"/>
      <c r="BC237" s="62"/>
      <c r="BD237" s="62"/>
      <c r="BE237" s="110"/>
      <c r="BF237" s="109"/>
      <c r="BG237" s="62"/>
      <c r="BH237" s="62"/>
      <c r="BI237" s="110"/>
      <c r="BJ237" s="426"/>
      <c r="BK237" s="427"/>
      <c r="BL237" s="560"/>
      <c r="BM237" s="2"/>
      <c r="BN237" s="12"/>
      <c r="BO237" s="585"/>
      <c r="BP237" s="14"/>
      <c r="BQ237" s="15"/>
      <c r="BR237" s="563"/>
      <c r="BS237" s="17"/>
      <c r="BT237" s="14"/>
      <c r="BU237" s="15"/>
      <c r="BV237" s="563"/>
      <c r="BW237" s="17"/>
      <c r="BX237" s="18"/>
      <c r="BY237" s="19"/>
      <c r="BZ237" s="20"/>
      <c r="CA237" s="564"/>
      <c r="CB237" s="21"/>
      <c r="CC237" s="22"/>
      <c r="CD237" s="598"/>
      <c r="CE237" s="599"/>
      <c r="CF237" s="24"/>
      <c r="CG237" s="74"/>
      <c r="CH237" s="74"/>
      <c r="CI237" s="74"/>
      <c r="CJ237" s="74"/>
      <c r="CK237" s="74"/>
      <c r="CL237" s="74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31">
        <v>3</v>
      </c>
      <c r="DB237" s="31">
        <v>3</v>
      </c>
      <c r="DC237" s="31">
        <v>3</v>
      </c>
      <c r="DD237" s="31">
        <v>3</v>
      </c>
      <c r="DE237" s="31">
        <v>3</v>
      </c>
    </row>
    <row r="238" spans="1:110">
      <c r="A238" s="177"/>
      <c r="B238" s="212" t="s">
        <v>39</v>
      </c>
      <c r="C238" s="49" t="s">
        <v>83</v>
      </c>
      <c r="D238" s="31">
        <f>D236/D237/12*1000</f>
        <v>20065.555555555555</v>
      </c>
      <c r="E238" s="31">
        <f>E236/E237/12*1000</f>
        <v>20065.555555555555</v>
      </c>
      <c r="F238" s="31">
        <f>F236/F237/12*1000</f>
        <v>20065.555555555555</v>
      </c>
      <c r="G238" s="31">
        <f>G236/G237/12*1000</f>
        <v>20065.555555555555</v>
      </c>
      <c r="H238" s="31"/>
      <c r="I238" s="31"/>
      <c r="J238" s="31"/>
      <c r="K238" s="31"/>
      <c r="L238" s="105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106"/>
      <c r="Z238" s="105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107"/>
      <c r="AL238" s="105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107"/>
      <c r="AX238" s="108"/>
      <c r="AY238" s="31">
        <f>AY236/AY237/12*1000</f>
        <v>20065.555555555551</v>
      </c>
      <c r="AZ238" s="109"/>
      <c r="BA238" s="62"/>
      <c r="BB238" s="62"/>
      <c r="BC238" s="62"/>
      <c r="BD238" s="62"/>
      <c r="BE238" s="110"/>
      <c r="BF238" s="109"/>
      <c r="BG238" s="62"/>
      <c r="BH238" s="62"/>
      <c r="BI238" s="110"/>
      <c r="BJ238" s="426"/>
      <c r="BK238" s="427"/>
      <c r="BL238" s="560"/>
      <c r="BM238" s="2"/>
      <c r="BN238" s="12"/>
      <c r="BO238" s="585"/>
      <c r="BP238" s="14"/>
      <c r="BQ238" s="15"/>
      <c r="BR238" s="563"/>
      <c r="BS238" s="17"/>
      <c r="BT238" s="14"/>
      <c r="BU238" s="15"/>
      <c r="BV238" s="563"/>
      <c r="BW238" s="17"/>
      <c r="BX238" s="18"/>
      <c r="BY238" s="19"/>
      <c r="BZ238" s="20"/>
      <c r="CA238" s="564"/>
      <c r="CB238" s="21"/>
      <c r="CC238" s="22"/>
      <c r="CD238" s="598"/>
      <c r="CE238" s="599"/>
      <c r="CF238" s="24"/>
      <c r="CG238" s="74"/>
      <c r="CH238" s="74"/>
      <c r="CI238" s="74"/>
      <c r="CJ238" s="74"/>
      <c r="CK238" s="74"/>
      <c r="CL238" s="74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31">
        <f>DA236/DA237/12*1000</f>
        <v>20065.555555555555</v>
      </c>
      <c r="DB238" s="31">
        <f>DB236/DB237/12*1000</f>
        <v>20065.555555555555</v>
      </c>
      <c r="DC238" s="31">
        <f>DC236/DC237/12*1000</f>
        <v>20065.555555555555</v>
      </c>
      <c r="DD238" s="31">
        <f>DD236/DD237/12*1000</f>
        <v>20065.555555555555</v>
      </c>
      <c r="DE238" s="31">
        <f>DE236/DE237/12*1000</f>
        <v>20065.555555555555</v>
      </c>
    </row>
    <row r="239" spans="1:110" ht="12" customHeight="1">
      <c r="A239" s="177"/>
      <c r="B239" s="187" t="s">
        <v>92</v>
      </c>
      <c r="C239" s="49" t="s">
        <v>54</v>
      </c>
      <c r="D239" s="31">
        <v>146.63999999999999</v>
      </c>
      <c r="E239" s="31">
        <v>146.63999999999999</v>
      </c>
      <c r="F239" s="31">
        <v>146.63999999999999</v>
      </c>
      <c r="G239" s="31">
        <v>146.63999999999999</v>
      </c>
      <c r="H239" s="31"/>
      <c r="I239" s="31"/>
      <c r="J239" s="31"/>
      <c r="K239" s="31"/>
      <c r="L239" s="105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106"/>
      <c r="Z239" s="105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107"/>
      <c r="AL239" s="105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107"/>
      <c r="AX239" s="108"/>
      <c r="AY239" s="31">
        <v>146.63999999999999</v>
      </c>
      <c r="AZ239" s="109"/>
      <c r="BA239" s="62">
        <v>99.5</v>
      </c>
      <c r="BB239" s="62">
        <f>BB236*20.3/100</f>
        <v>0</v>
      </c>
      <c r="BC239" s="62">
        <v>44.44</v>
      </c>
      <c r="BD239" s="62">
        <f>BD236*20.3/100</f>
        <v>0</v>
      </c>
      <c r="BE239" s="110">
        <v>2.7</v>
      </c>
      <c r="BF239" s="109">
        <v>22.38</v>
      </c>
      <c r="BG239" s="62">
        <f>BG236*20.3/100</f>
        <v>6.5975000000000001</v>
      </c>
      <c r="BH239" s="62"/>
      <c r="BI239" s="110"/>
      <c r="BJ239" s="426"/>
      <c r="BK239" s="427"/>
      <c r="BL239" s="560"/>
      <c r="BM239" s="2"/>
      <c r="BN239" s="12"/>
      <c r="BO239" s="585"/>
      <c r="BP239" s="14"/>
      <c r="BQ239" s="15"/>
      <c r="BR239" s="563"/>
      <c r="BS239" s="17"/>
      <c r="BT239" s="14"/>
      <c r="BU239" s="15"/>
      <c r="BV239" s="563"/>
      <c r="BW239" s="17"/>
      <c r="BX239" s="18"/>
      <c r="BY239" s="19"/>
      <c r="BZ239" s="20"/>
      <c r="CA239" s="564"/>
      <c r="CB239" s="21"/>
      <c r="CC239" s="22"/>
      <c r="CD239" s="598"/>
      <c r="CE239" s="599"/>
      <c r="CF239" s="24"/>
      <c r="CG239" s="74"/>
      <c r="CH239" s="74"/>
      <c r="CI239" s="74"/>
      <c r="CJ239" s="74"/>
      <c r="CK239" s="74"/>
      <c r="CL239" s="74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31">
        <f>DA236*20.3/100</f>
        <v>146.63908000000001</v>
      </c>
      <c r="DB239" s="31">
        <f>DB236*20.3/100</f>
        <v>146.63908000000001</v>
      </c>
      <c r="DC239" s="31">
        <v>146.643</v>
      </c>
      <c r="DD239" s="31">
        <v>146.643</v>
      </c>
      <c r="DE239" s="31">
        <f>DE236*20.3/100</f>
        <v>146.63908000000001</v>
      </c>
    </row>
    <row r="240" spans="1:110" ht="24">
      <c r="A240" s="165" t="s">
        <v>271</v>
      </c>
      <c r="B240" s="166" t="s">
        <v>240</v>
      </c>
      <c r="C240" s="266" t="s">
        <v>54</v>
      </c>
      <c r="D240" s="108">
        <f>SUM(D241,D244)</f>
        <v>505.5</v>
      </c>
      <c r="E240" s="108">
        <f>SUM(E241,E244)</f>
        <v>367</v>
      </c>
      <c r="F240" s="108">
        <f>SUM(F241,F244)</f>
        <v>367</v>
      </c>
      <c r="G240" s="108">
        <f>SUM(G241,G244)</f>
        <v>367</v>
      </c>
      <c r="H240" s="233"/>
      <c r="I240" s="233"/>
      <c r="J240" s="233"/>
      <c r="K240" s="233"/>
      <c r="L240" s="251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52"/>
      <c r="Z240" s="251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233"/>
      <c r="AK240" s="253"/>
      <c r="AL240" s="251"/>
      <c r="AM240" s="233"/>
      <c r="AN240" s="233"/>
      <c r="AO240" s="233"/>
      <c r="AP240" s="233"/>
      <c r="AQ240" s="233"/>
      <c r="AR240" s="233"/>
      <c r="AS240" s="233"/>
      <c r="AT240" s="233"/>
      <c r="AU240" s="233"/>
      <c r="AV240" s="233"/>
      <c r="AW240" s="253"/>
      <c r="AX240" s="101"/>
      <c r="AY240" s="101">
        <f>SUM(AY241,AY244)</f>
        <v>367</v>
      </c>
      <c r="AZ240" s="238"/>
      <c r="BA240" s="239">
        <f>SUM(BA241:BA244)</f>
        <v>203.48000000000002</v>
      </c>
      <c r="BB240" s="239">
        <f t="shared" ref="BB240:BG240" si="130">SUM(BB241:BB244)</f>
        <v>0</v>
      </c>
      <c r="BC240" s="239">
        <f t="shared" si="130"/>
        <v>131.88</v>
      </c>
      <c r="BD240" s="239">
        <f t="shared" si="130"/>
        <v>0</v>
      </c>
      <c r="BE240" s="240">
        <f t="shared" si="130"/>
        <v>0</v>
      </c>
      <c r="BF240" s="238">
        <f t="shared" si="130"/>
        <v>0</v>
      </c>
      <c r="BG240" s="239">
        <f t="shared" si="130"/>
        <v>0</v>
      </c>
      <c r="BH240" s="239"/>
      <c r="BI240" s="240"/>
      <c r="BJ240" s="417"/>
      <c r="BK240" s="545"/>
      <c r="BL240" s="546"/>
      <c r="BM240" s="254"/>
      <c r="BN240" s="255"/>
      <c r="BO240" s="585"/>
      <c r="BP240" s="586"/>
      <c r="BQ240" s="587"/>
      <c r="BR240" s="588"/>
      <c r="BS240" s="589"/>
      <c r="BT240" s="586"/>
      <c r="BU240" s="587"/>
      <c r="BV240" s="588"/>
      <c r="BW240" s="589"/>
      <c r="BX240" s="590"/>
      <c r="BY240" s="591"/>
      <c r="BZ240" s="592"/>
      <c r="CA240" s="593"/>
      <c r="CB240" s="594"/>
      <c r="CC240" s="250"/>
      <c r="CD240" s="595"/>
      <c r="CE240" s="596"/>
      <c r="CF240" s="597"/>
      <c r="CG240" s="558"/>
      <c r="CH240" s="558"/>
      <c r="CI240" s="558"/>
      <c r="CJ240" s="558"/>
      <c r="CK240" s="558"/>
      <c r="CL240" s="558"/>
      <c r="CM240" s="559"/>
      <c r="CN240" s="559"/>
      <c r="CO240" s="559"/>
      <c r="CP240" s="559"/>
      <c r="CQ240" s="559"/>
      <c r="CR240" s="559"/>
      <c r="CS240" s="559"/>
      <c r="CT240" s="559"/>
      <c r="CU240" s="559"/>
      <c r="CV240" s="559"/>
      <c r="CW240" s="559"/>
      <c r="CX240" s="559"/>
      <c r="CY240" s="559"/>
      <c r="CZ240" s="559"/>
      <c r="DA240" s="101">
        <f>SUM(DA241,DA244)</f>
        <v>366.99599999999998</v>
      </c>
      <c r="DB240" s="101">
        <f>SUM(DB241,DB244)</f>
        <v>366.99599999999998</v>
      </c>
      <c r="DC240" s="108"/>
      <c r="DD240" s="108"/>
      <c r="DE240" s="108"/>
    </row>
    <row r="241" spans="1:110">
      <c r="A241" s="177"/>
      <c r="B241" s="187" t="s">
        <v>169</v>
      </c>
      <c r="C241" s="49" t="s">
        <v>54</v>
      </c>
      <c r="D241" s="31">
        <v>421.25</v>
      </c>
      <c r="E241" s="31">
        <v>305.83</v>
      </c>
      <c r="F241" s="31">
        <v>305.83</v>
      </c>
      <c r="G241" s="31">
        <v>305.83</v>
      </c>
      <c r="H241" s="78"/>
      <c r="I241" s="78"/>
      <c r="J241" s="78"/>
      <c r="K241" s="78"/>
      <c r="L241" s="111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112"/>
      <c r="Z241" s="111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113"/>
      <c r="AL241" s="111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113"/>
      <c r="AX241" s="101"/>
      <c r="AY241" s="31">
        <v>305.83</v>
      </c>
      <c r="AZ241" s="102"/>
      <c r="BA241" s="103">
        <v>162.93</v>
      </c>
      <c r="BB241" s="103"/>
      <c r="BC241" s="103">
        <v>116.54</v>
      </c>
      <c r="BD241" s="103"/>
      <c r="BE241" s="104"/>
      <c r="BF241" s="102"/>
      <c r="BG241" s="103"/>
      <c r="BH241" s="103"/>
      <c r="BI241" s="104"/>
      <c r="BJ241" s="417"/>
      <c r="BK241" s="418"/>
      <c r="BL241" s="36"/>
      <c r="BM241" s="2"/>
      <c r="BN241" s="12"/>
      <c r="BO241" s="585"/>
      <c r="BP241" s="14"/>
      <c r="BQ241" s="15"/>
      <c r="BR241" s="563"/>
      <c r="BS241" s="17"/>
      <c r="BT241" s="14"/>
      <c r="BU241" s="15"/>
      <c r="BV241" s="563"/>
      <c r="BW241" s="17"/>
      <c r="BX241" s="18"/>
      <c r="BY241" s="19"/>
      <c r="BZ241" s="20"/>
      <c r="CA241" s="564"/>
      <c r="CB241" s="21"/>
      <c r="CC241" s="22"/>
      <c r="CD241" s="598"/>
      <c r="CE241" s="599"/>
      <c r="CF241" s="24"/>
      <c r="CG241" s="74"/>
      <c r="CH241" s="74"/>
      <c r="CI241" s="74"/>
      <c r="CJ241" s="74"/>
      <c r="CK241" s="74"/>
      <c r="CL241" s="74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31">
        <v>305.83</v>
      </c>
      <c r="DB241" s="31">
        <v>305.83</v>
      </c>
      <c r="DC241" s="31">
        <v>305.83</v>
      </c>
      <c r="DD241" s="31">
        <v>322.82</v>
      </c>
      <c r="DE241" s="31">
        <v>305.83</v>
      </c>
    </row>
    <row r="242" spans="1:110">
      <c r="A242" s="177"/>
      <c r="B242" s="212" t="s">
        <v>38</v>
      </c>
      <c r="C242" s="49" t="s">
        <v>54</v>
      </c>
      <c r="D242" s="31"/>
      <c r="E242" s="31"/>
      <c r="F242" s="31"/>
      <c r="G242" s="31"/>
      <c r="H242" s="78"/>
      <c r="I242" s="78"/>
      <c r="J242" s="78"/>
      <c r="K242" s="78"/>
      <c r="L242" s="111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112"/>
      <c r="Z242" s="111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113"/>
      <c r="AL242" s="111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113"/>
      <c r="AX242" s="101"/>
      <c r="AY242" s="33"/>
      <c r="AZ242" s="102"/>
      <c r="BA242" s="103"/>
      <c r="BB242" s="103"/>
      <c r="BC242" s="103"/>
      <c r="BD242" s="103"/>
      <c r="BE242" s="104"/>
      <c r="BF242" s="102"/>
      <c r="BG242" s="103"/>
      <c r="BH242" s="103"/>
      <c r="BI242" s="104"/>
      <c r="BJ242" s="417"/>
      <c r="BK242" s="418"/>
      <c r="BL242" s="36"/>
      <c r="BM242" s="2"/>
      <c r="BN242" s="12"/>
      <c r="BO242" s="585"/>
      <c r="BP242" s="14"/>
      <c r="BQ242" s="15"/>
      <c r="BR242" s="563"/>
      <c r="BS242" s="17"/>
      <c r="BT242" s="14"/>
      <c r="BU242" s="15"/>
      <c r="BV242" s="563"/>
      <c r="BW242" s="17"/>
      <c r="BX242" s="18"/>
      <c r="BY242" s="19"/>
      <c r="BZ242" s="20"/>
      <c r="CA242" s="564"/>
      <c r="CB242" s="21"/>
      <c r="CC242" s="22"/>
      <c r="CD242" s="598"/>
      <c r="CE242" s="599"/>
      <c r="CF242" s="24"/>
      <c r="CG242" s="74"/>
      <c r="CH242" s="74"/>
      <c r="CI242" s="74"/>
      <c r="CJ242" s="74"/>
      <c r="CK242" s="74"/>
      <c r="CL242" s="74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33"/>
      <c r="DB242" s="33"/>
      <c r="DC242" s="31"/>
      <c r="DD242" s="31"/>
      <c r="DE242" s="31"/>
    </row>
    <row r="243" spans="1:110">
      <c r="A243" s="177"/>
      <c r="B243" s="212" t="s">
        <v>39</v>
      </c>
      <c r="C243" s="49" t="s">
        <v>54</v>
      </c>
      <c r="D243" s="31"/>
      <c r="E243" s="31"/>
      <c r="F243" s="31"/>
      <c r="G243" s="31"/>
      <c r="H243" s="78"/>
      <c r="I243" s="78"/>
      <c r="J243" s="78"/>
      <c r="K243" s="78"/>
      <c r="L243" s="111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112"/>
      <c r="Z243" s="111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113"/>
      <c r="AL243" s="111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113"/>
      <c r="AX243" s="101"/>
      <c r="AY243" s="33"/>
      <c r="AZ243" s="102"/>
      <c r="BA243" s="103"/>
      <c r="BB243" s="103"/>
      <c r="BC243" s="103"/>
      <c r="BD243" s="103"/>
      <c r="BE243" s="104"/>
      <c r="BF243" s="102"/>
      <c r="BG243" s="103"/>
      <c r="BH243" s="103"/>
      <c r="BI243" s="104"/>
      <c r="BJ243" s="417"/>
      <c r="BK243" s="418"/>
      <c r="BL243" s="36"/>
      <c r="BM243" s="2"/>
      <c r="BN243" s="12"/>
      <c r="BO243" s="585"/>
      <c r="BP243" s="14"/>
      <c r="BQ243" s="15"/>
      <c r="BR243" s="563"/>
      <c r="BS243" s="17"/>
      <c r="BT243" s="14"/>
      <c r="BU243" s="15"/>
      <c r="BV243" s="563"/>
      <c r="BW243" s="17"/>
      <c r="BX243" s="18"/>
      <c r="BY243" s="19"/>
      <c r="BZ243" s="20"/>
      <c r="CA243" s="564"/>
      <c r="CB243" s="21"/>
      <c r="CC243" s="22"/>
      <c r="CD243" s="598"/>
      <c r="CE243" s="599"/>
      <c r="CF243" s="24"/>
      <c r="CG243" s="74"/>
      <c r="CH243" s="74"/>
      <c r="CI243" s="74"/>
      <c r="CJ243" s="74"/>
      <c r="CK243" s="74"/>
      <c r="CL243" s="74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33"/>
      <c r="DB243" s="33"/>
      <c r="DC243" s="31"/>
      <c r="DD243" s="31"/>
      <c r="DE243" s="31"/>
    </row>
    <row r="244" spans="1:110">
      <c r="A244" s="177"/>
      <c r="B244" s="187" t="s">
        <v>170</v>
      </c>
      <c r="C244" s="49" t="s">
        <v>54</v>
      </c>
      <c r="D244" s="31">
        <v>84.25</v>
      </c>
      <c r="E244" s="31">
        <v>61.17</v>
      </c>
      <c r="F244" s="31">
        <v>61.17</v>
      </c>
      <c r="G244" s="31">
        <v>61.17</v>
      </c>
      <c r="H244" s="78"/>
      <c r="I244" s="78"/>
      <c r="J244" s="78"/>
      <c r="K244" s="78"/>
      <c r="L244" s="111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112"/>
      <c r="Z244" s="111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113"/>
      <c r="AL244" s="111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113"/>
      <c r="AX244" s="101"/>
      <c r="AY244" s="31">
        <v>61.17</v>
      </c>
      <c r="AZ244" s="102"/>
      <c r="BA244" s="103">
        <v>40.549999999999997</v>
      </c>
      <c r="BB244" s="103"/>
      <c r="BC244" s="103">
        <v>15.34</v>
      </c>
      <c r="BD244" s="103"/>
      <c r="BE244" s="104"/>
      <c r="BF244" s="102"/>
      <c r="BG244" s="103"/>
      <c r="BH244" s="103"/>
      <c r="BI244" s="104"/>
      <c r="BJ244" s="417"/>
      <c r="BK244" s="418"/>
      <c r="BL244" s="36"/>
      <c r="BM244" s="2"/>
      <c r="BN244" s="12"/>
      <c r="BO244" s="585"/>
      <c r="BP244" s="14"/>
      <c r="BQ244" s="15"/>
      <c r="BR244" s="563"/>
      <c r="BS244" s="17"/>
      <c r="BT244" s="14"/>
      <c r="BU244" s="15"/>
      <c r="BV244" s="563"/>
      <c r="BW244" s="17"/>
      <c r="BX244" s="18"/>
      <c r="BY244" s="19"/>
      <c r="BZ244" s="20"/>
      <c r="CA244" s="564"/>
      <c r="CB244" s="21"/>
      <c r="CC244" s="22"/>
      <c r="CD244" s="598"/>
      <c r="CE244" s="599"/>
      <c r="CF244" s="24"/>
      <c r="CG244" s="74"/>
      <c r="CH244" s="74"/>
      <c r="CI244" s="74"/>
      <c r="CJ244" s="74"/>
      <c r="CK244" s="74"/>
      <c r="CL244" s="74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31">
        <f>DA241*20/100</f>
        <v>61.165999999999997</v>
      </c>
      <c r="DB244" s="31">
        <f>DB241*20/100</f>
        <v>61.165999999999997</v>
      </c>
      <c r="DC244" s="31">
        <v>61.17</v>
      </c>
      <c r="DD244" s="31">
        <v>64.569999999999993</v>
      </c>
      <c r="DE244" s="31">
        <v>61.17</v>
      </c>
    </row>
    <row r="245" spans="1:110" hidden="1">
      <c r="A245" s="232" t="s">
        <v>272</v>
      </c>
      <c r="B245" s="166" t="s">
        <v>96</v>
      </c>
      <c r="C245" s="266" t="s">
        <v>54</v>
      </c>
      <c r="D245" s="108">
        <f>SUM(D246:D248)</f>
        <v>337.04</v>
      </c>
      <c r="E245" s="108">
        <f>SUM(E246:E248)</f>
        <v>364.58</v>
      </c>
      <c r="F245" s="108">
        <f>SUM(F246:F248)</f>
        <v>364.58</v>
      </c>
      <c r="G245" s="108">
        <f>SUM(G246:G248)</f>
        <v>364.58</v>
      </c>
      <c r="H245" s="234" t="e">
        <f t="shared" ref="H245:U245" si="131">H246+H249</f>
        <v>#REF!</v>
      </c>
      <c r="I245" s="234" t="e">
        <f t="shared" si="131"/>
        <v>#REF!</v>
      </c>
      <c r="J245" s="234" t="e">
        <f t="shared" si="131"/>
        <v>#REF!</v>
      </c>
      <c r="K245" s="234" t="e">
        <f t="shared" si="131"/>
        <v>#REF!</v>
      </c>
      <c r="L245" s="235" t="e">
        <f t="shared" si="131"/>
        <v>#REF!</v>
      </c>
      <c r="M245" s="235" t="e">
        <f t="shared" si="131"/>
        <v>#REF!</v>
      </c>
      <c r="N245" s="235" t="e">
        <f t="shared" si="131"/>
        <v>#REF!</v>
      </c>
      <c r="O245" s="235" t="e">
        <f t="shared" si="131"/>
        <v>#REF!</v>
      </c>
      <c r="P245" s="235"/>
      <c r="Q245" s="235"/>
      <c r="R245" s="235">
        <v>136.47999999999999</v>
      </c>
      <c r="S245" s="235" t="e">
        <f t="shared" si="131"/>
        <v>#REF!</v>
      </c>
      <c r="T245" s="235" t="e">
        <f t="shared" si="131"/>
        <v>#REF!</v>
      </c>
      <c r="U245" s="235" t="e">
        <f t="shared" si="131"/>
        <v>#REF!</v>
      </c>
      <c r="V245" s="235"/>
      <c r="W245" s="235"/>
      <c r="X245" s="235" t="e">
        <f>O245-N245</f>
        <v>#REF!</v>
      </c>
      <c r="Y245" s="236" t="e">
        <f>O245/N245</f>
        <v>#REF!</v>
      </c>
      <c r="Z245" s="235" t="e">
        <f t="shared" ref="Z245:AG245" si="132">Z246+Z249</f>
        <v>#REF!</v>
      </c>
      <c r="AA245" s="235" t="e">
        <f t="shared" si="132"/>
        <v>#REF!</v>
      </c>
      <c r="AB245" s="235" t="e">
        <f t="shared" si="132"/>
        <v>#REF!</v>
      </c>
      <c r="AC245" s="235" t="e">
        <f t="shared" si="132"/>
        <v>#REF!</v>
      </c>
      <c r="AD245" s="235" t="e">
        <f t="shared" si="132"/>
        <v>#REF!</v>
      </c>
      <c r="AE245" s="235" t="e">
        <f t="shared" si="132"/>
        <v>#REF!</v>
      </c>
      <c r="AF245" s="235" t="e">
        <f t="shared" si="132"/>
        <v>#REF!</v>
      </c>
      <c r="AG245" s="235" t="e">
        <f t="shared" si="132"/>
        <v>#REF!</v>
      </c>
      <c r="AH245" s="235"/>
      <c r="AI245" s="235"/>
      <c r="AJ245" s="235" t="e">
        <f>AC245-AB245</f>
        <v>#REF!</v>
      </c>
      <c r="AK245" s="237" t="e">
        <f>AC245/AB245</f>
        <v>#REF!</v>
      </c>
      <c r="AL245" s="235" t="e">
        <f t="shared" ref="AL245:AS245" si="133">AL246+AL249</f>
        <v>#REF!</v>
      </c>
      <c r="AM245" s="235" t="e">
        <f t="shared" si="133"/>
        <v>#REF!</v>
      </c>
      <c r="AN245" s="235" t="e">
        <f t="shared" si="133"/>
        <v>#REF!</v>
      </c>
      <c r="AO245" s="235" t="e">
        <f t="shared" si="133"/>
        <v>#REF!</v>
      </c>
      <c r="AP245" s="235" t="e">
        <f t="shared" si="133"/>
        <v>#REF!</v>
      </c>
      <c r="AQ245" s="235" t="e">
        <f t="shared" si="133"/>
        <v>#REF!</v>
      </c>
      <c r="AR245" s="235" t="e">
        <f t="shared" si="133"/>
        <v>#REF!</v>
      </c>
      <c r="AS245" s="235" t="e">
        <f t="shared" si="133"/>
        <v>#REF!</v>
      </c>
      <c r="AT245" s="235"/>
      <c r="AU245" s="235"/>
      <c r="AV245" s="235" t="e">
        <f>AO245-AN245</f>
        <v>#REF!</v>
      </c>
      <c r="AW245" s="237" t="e">
        <f>AO245/AN245</f>
        <v>#REF!</v>
      </c>
      <c r="AX245" s="101">
        <f>G245/2</f>
        <v>182.29</v>
      </c>
      <c r="AY245" s="101">
        <f>SUM(AY246:AY248)</f>
        <v>382.75</v>
      </c>
      <c r="AZ245" s="238" t="e">
        <f>AZ246+AZ249</f>
        <v>#REF!</v>
      </c>
      <c r="BA245" s="239">
        <f>SUM(BA246:BA248)</f>
        <v>231.66</v>
      </c>
      <c r="BB245" s="239">
        <f t="shared" ref="BB245:BG245" si="134">SUM(BB246:BB248)</f>
        <v>0</v>
      </c>
      <c r="BC245" s="239">
        <f t="shared" si="134"/>
        <v>75.7</v>
      </c>
      <c r="BD245" s="239">
        <f t="shared" si="134"/>
        <v>0</v>
      </c>
      <c r="BE245" s="240">
        <f t="shared" si="134"/>
        <v>20.34</v>
      </c>
      <c r="BF245" s="238">
        <f t="shared" si="134"/>
        <v>16.25</v>
      </c>
      <c r="BG245" s="239">
        <f t="shared" si="134"/>
        <v>0</v>
      </c>
      <c r="BH245" s="239"/>
      <c r="BI245" s="240"/>
      <c r="BJ245" s="417" t="e">
        <f>BA245-AZ245</f>
        <v>#REF!</v>
      </c>
      <c r="BK245" s="545" t="e">
        <f>BA245/AZ245</f>
        <v>#REF!</v>
      </c>
      <c r="BL245" s="546"/>
      <c r="BM245" s="238" t="e">
        <f>BM246+BM249</f>
        <v>#REF!</v>
      </c>
      <c r="BN245" s="239"/>
      <c r="BO245" s="455"/>
      <c r="BP245" s="547"/>
      <c r="BQ245" s="548"/>
      <c r="BR245" s="549"/>
      <c r="BS245" s="550"/>
      <c r="BT245" s="547"/>
      <c r="BU245" s="548"/>
      <c r="BV245" s="549"/>
      <c r="BW245" s="550"/>
      <c r="BX245" s="551">
        <f>BX246</f>
        <v>0</v>
      </c>
      <c r="BY245" s="552">
        <f>F245</f>
        <v>364.58</v>
      </c>
      <c r="BZ245" s="553" t="e">
        <f>M245+BM245+BQ245+BU245</f>
        <v>#REF!</v>
      </c>
      <c r="CA245" s="548" t="e">
        <f>BZ245-BY245</f>
        <v>#REF!</v>
      </c>
      <c r="CB245" s="554" t="e">
        <f>BZ245/BY245</f>
        <v>#REF!</v>
      </c>
      <c r="CC245" s="309" t="e">
        <f>BZ245-E245</f>
        <v>#REF!</v>
      </c>
      <c r="CD245" s="555" t="e">
        <f>CD246+CD249</f>
        <v>#REF!</v>
      </c>
      <c r="CE245" s="556" t="e">
        <f>CE246+CE249</f>
        <v>#REF!</v>
      </c>
      <c r="CF245" s="557"/>
      <c r="CG245" s="558"/>
      <c r="CH245" s="558"/>
      <c r="CI245" s="558"/>
      <c r="CJ245" s="558"/>
      <c r="CK245" s="558"/>
      <c r="CL245" s="558"/>
      <c r="CM245" s="559"/>
      <c r="CN245" s="559"/>
      <c r="CO245" s="559"/>
      <c r="CP245" s="559"/>
      <c r="CQ245" s="559"/>
      <c r="CR245" s="559"/>
      <c r="CS245" s="559"/>
      <c r="CT245" s="559"/>
      <c r="CU245" s="559"/>
      <c r="CV245" s="559"/>
      <c r="CW245" s="559"/>
      <c r="CX245" s="559"/>
      <c r="CY245" s="559"/>
      <c r="CZ245" s="559"/>
      <c r="DA245" s="101"/>
      <c r="DB245" s="101">
        <f>SUM(DB246:DB248)</f>
        <v>364.58</v>
      </c>
      <c r="DC245" s="108"/>
      <c r="DD245" s="108"/>
      <c r="DE245" s="108"/>
    </row>
    <row r="246" spans="1:110" hidden="1">
      <c r="A246" s="177"/>
      <c r="B246" s="187" t="s">
        <v>30</v>
      </c>
      <c r="C246" s="49" t="s">
        <v>54</v>
      </c>
      <c r="D246" s="31">
        <v>12.76</v>
      </c>
      <c r="E246" s="31">
        <v>17.329999999999998</v>
      </c>
      <c r="F246" s="31">
        <v>17.329999999999998</v>
      </c>
      <c r="G246" s="31">
        <v>17.329999999999998</v>
      </c>
      <c r="H246" s="31"/>
      <c r="I246" s="31"/>
      <c r="J246" s="31"/>
      <c r="K246" s="31"/>
      <c r="L246" s="105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106"/>
      <c r="Z246" s="105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107"/>
      <c r="AL246" s="105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107"/>
      <c r="AX246" s="108"/>
      <c r="AY246" s="31">
        <v>17.329999999999998</v>
      </c>
      <c r="AZ246" s="109"/>
      <c r="BA246" s="62">
        <v>7.24</v>
      </c>
      <c r="BB246" s="62"/>
      <c r="BC246" s="62">
        <v>7.08</v>
      </c>
      <c r="BD246" s="62"/>
      <c r="BE246" s="110">
        <v>0.61</v>
      </c>
      <c r="BF246" s="109">
        <v>1.42</v>
      </c>
      <c r="BG246" s="62"/>
      <c r="BH246" s="62"/>
      <c r="BI246" s="110"/>
      <c r="BJ246" s="426"/>
      <c r="BK246" s="427"/>
      <c r="BL246" s="560"/>
      <c r="BM246" s="2"/>
      <c r="BN246" s="12"/>
      <c r="BO246" s="585"/>
      <c r="BP246" s="14"/>
      <c r="BQ246" s="15"/>
      <c r="BR246" s="563"/>
      <c r="BS246" s="17"/>
      <c r="BT246" s="14"/>
      <c r="BU246" s="15"/>
      <c r="BV246" s="563"/>
      <c r="BW246" s="17"/>
      <c r="BX246" s="18"/>
      <c r="BY246" s="19"/>
      <c r="BZ246" s="20"/>
      <c r="CA246" s="564"/>
      <c r="CB246" s="21"/>
      <c r="CC246" s="22"/>
      <c r="CD246" s="598"/>
      <c r="CE246" s="599"/>
      <c r="CF246" s="24"/>
      <c r="CG246" s="74"/>
      <c r="CH246" s="74"/>
      <c r="CI246" s="74"/>
      <c r="CJ246" s="74"/>
      <c r="CK246" s="74"/>
      <c r="CL246" s="74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31">
        <v>17.329999999999998</v>
      </c>
      <c r="DB246" s="31">
        <v>17.329999999999998</v>
      </c>
      <c r="DC246" s="31">
        <v>17.8</v>
      </c>
      <c r="DD246" s="31">
        <v>29.64</v>
      </c>
      <c r="DE246" s="766">
        <v>34.090000000000003</v>
      </c>
      <c r="DF246" s="768"/>
    </row>
    <row r="247" spans="1:110" hidden="1">
      <c r="A247" s="177"/>
      <c r="B247" s="187" t="s">
        <v>24</v>
      </c>
      <c r="C247" s="49" t="s">
        <v>54</v>
      </c>
      <c r="D247" s="31">
        <v>81.37</v>
      </c>
      <c r="E247" s="31">
        <v>76.599999999999994</v>
      </c>
      <c r="F247" s="31">
        <v>76.599999999999994</v>
      </c>
      <c r="G247" s="31">
        <v>76.599999999999994</v>
      </c>
      <c r="H247" s="31"/>
      <c r="I247" s="31"/>
      <c r="J247" s="31"/>
      <c r="K247" s="31"/>
      <c r="L247" s="105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106"/>
      <c r="Z247" s="105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107"/>
      <c r="AL247" s="105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107"/>
      <c r="AX247" s="108"/>
      <c r="AY247" s="31">
        <v>71.37</v>
      </c>
      <c r="AZ247" s="109"/>
      <c r="BA247" s="62">
        <v>49.14</v>
      </c>
      <c r="BB247" s="62"/>
      <c r="BC247" s="62">
        <v>15.31</v>
      </c>
      <c r="BD247" s="62"/>
      <c r="BE247" s="110">
        <v>5.41</v>
      </c>
      <c r="BF247" s="109">
        <v>2.41</v>
      </c>
      <c r="BG247" s="62"/>
      <c r="BH247" s="62"/>
      <c r="BI247" s="110"/>
      <c r="BJ247" s="426"/>
      <c r="BK247" s="427"/>
      <c r="BL247" s="560"/>
      <c r="BM247" s="2"/>
      <c r="BN247" s="12"/>
      <c r="BO247" s="585"/>
      <c r="BP247" s="14"/>
      <c r="BQ247" s="15"/>
      <c r="BR247" s="563"/>
      <c r="BS247" s="17"/>
      <c r="BT247" s="14"/>
      <c r="BU247" s="15"/>
      <c r="BV247" s="563"/>
      <c r="BW247" s="17"/>
      <c r="BX247" s="18"/>
      <c r="BY247" s="19"/>
      <c r="BZ247" s="20"/>
      <c r="CA247" s="564"/>
      <c r="CB247" s="21"/>
      <c r="CC247" s="22"/>
      <c r="CD247" s="598"/>
      <c r="CE247" s="599"/>
      <c r="CF247" s="24"/>
      <c r="CG247" s="74"/>
      <c r="CH247" s="74"/>
      <c r="CI247" s="74"/>
      <c r="CJ247" s="74"/>
      <c r="CK247" s="74"/>
      <c r="CL247" s="74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31">
        <v>76.599999999999994</v>
      </c>
      <c r="DB247" s="31">
        <v>76.599999999999994</v>
      </c>
      <c r="DC247" s="31">
        <v>76.599999999999994</v>
      </c>
      <c r="DD247" s="31">
        <v>71.510000000000005</v>
      </c>
      <c r="DE247" s="766">
        <v>88.09</v>
      </c>
      <c r="DF247" s="768"/>
    </row>
    <row r="248" spans="1:110" hidden="1">
      <c r="A248" s="177"/>
      <c r="B248" s="187" t="s">
        <v>95</v>
      </c>
      <c r="C248" s="49" t="s">
        <v>54</v>
      </c>
      <c r="D248" s="31">
        <v>242.91</v>
      </c>
      <c r="E248" s="31">
        <v>270.64999999999998</v>
      </c>
      <c r="F248" s="31">
        <v>270.64999999999998</v>
      </c>
      <c r="G248" s="31">
        <v>270.64999999999998</v>
      </c>
      <c r="H248" s="31"/>
      <c r="I248" s="31"/>
      <c r="J248" s="31"/>
      <c r="K248" s="31"/>
      <c r="L248" s="105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106"/>
      <c r="Z248" s="105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107"/>
      <c r="AL248" s="105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107"/>
      <c r="AX248" s="108"/>
      <c r="AY248" s="31">
        <v>294.05</v>
      </c>
      <c r="AZ248" s="109"/>
      <c r="BA248" s="62">
        <v>175.28</v>
      </c>
      <c r="BB248" s="62"/>
      <c r="BC248" s="62">
        <v>53.31</v>
      </c>
      <c r="BD248" s="62"/>
      <c r="BE248" s="110">
        <v>14.32</v>
      </c>
      <c r="BF248" s="109">
        <v>12.42</v>
      </c>
      <c r="BG248" s="62"/>
      <c r="BH248" s="62"/>
      <c r="BI248" s="110"/>
      <c r="BJ248" s="426"/>
      <c r="BK248" s="427"/>
      <c r="BL248" s="560"/>
      <c r="BM248" s="2"/>
      <c r="BN248" s="12"/>
      <c r="BO248" s="585"/>
      <c r="BP248" s="14"/>
      <c r="BQ248" s="15"/>
      <c r="BR248" s="563"/>
      <c r="BS248" s="17"/>
      <c r="BT248" s="14"/>
      <c r="BU248" s="15"/>
      <c r="BV248" s="563"/>
      <c r="BW248" s="17"/>
      <c r="BX248" s="18"/>
      <c r="BY248" s="19"/>
      <c r="BZ248" s="20"/>
      <c r="CA248" s="564"/>
      <c r="CB248" s="21"/>
      <c r="CC248" s="22"/>
      <c r="CD248" s="598"/>
      <c r="CE248" s="599"/>
      <c r="CF248" s="24"/>
      <c r="CG248" s="74"/>
      <c r="CH248" s="74"/>
      <c r="CI248" s="74"/>
      <c r="CJ248" s="74"/>
      <c r="CK248" s="74"/>
      <c r="CL248" s="74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31">
        <v>270.64999999999998</v>
      </c>
      <c r="DB248" s="31">
        <v>270.64999999999998</v>
      </c>
      <c r="DC248" s="31">
        <v>295</v>
      </c>
      <c r="DD248" s="31">
        <v>324</v>
      </c>
      <c r="DE248" s="766">
        <v>346.68</v>
      </c>
      <c r="DF248" s="768"/>
    </row>
    <row r="249" spans="1:110" hidden="1">
      <c r="A249" s="232" t="s">
        <v>273</v>
      </c>
      <c r="B249" s="166" t="s">
        <v>28</v>
      </c>
      <c r="C249" s="266" t="s">
        <v>54</v>
      </c>
      <c r="D249" s="108">
        <f>SUM(D250:D254)</f>
        <v>74.42</v>
      </c>
      <c r="E249" s="108">
        <f>SUM(E250:E254)</f>
        <v>42</v>
      </c>
      <c r="F249" s="108">
        <f>SUM(F250:F254)</f>
        <v>42</v>
      </c>
      <c r="G249" s="108">
        <f>SUM(G250:G254)</f>
        <v>42</v>
      </c>
      <c r="H249" s="234" t="e">
        <f t="shared" ref="H249:U249" si="135">H250+H255</f>
        <v>#REF!</v>
      </c>
      <c r="I249" s="234" t="e">
        <f t="shared" si="135"/>
        <v>#REF!</v>
      </c>
      <c r="J249" s="234" t="e">
        <f t="shared" si="135"/>
        <v>#REF!</v>
      </c>
      <c r="K249" s="234" t="e">
        <f t="shared" si="135"/>
        <v>#REF!</v>
      </c>
      <c r="L249" s="235" t="e">
        <f t="shared" si="135"/>
        <v>#REF!</v>
      </c>
      <c r="M249" s="235" t="e">
        <f t="shared" si="135"/>
        <v>#REF!</v>
      </c>
      <c r="N249" s="235" t="e">
        <f t="shared" si="135"/>
        <v>#REF!</v>
      </c>
      <c r="O249" s="235" t="e">
        <f t="shared" si="135"/>
        <v>#REF!</v>
      </c>
      <c r="P249" s="235"/>
      <c r="Q249" s="235"/>
      <c r="R249" s="235">
        <v>136.47999999999999</v>
      </c>
      <c r="S249" s="235" t="e">
        <f t="shared" si="135"/>
        <v>#REF!</v>
      </c>
      <c r="T249" s="235" t="e">
        <f t="shared" si="135"/>
        <v>#REF!</v>
      </c>
      <c r="U249" s="235" t="e">
        <f t="shared" si="135"/>
        <v>#REF!</v>
      </c>
      <c r="V249" s="235"/>
      <c r="W249" s="235"/>
      <c r="X249" s="235" t="e">
        <f>O249-N249</f>
        <v>#REF!</v>
      </c>
      <c r="Y249" s="236" t="e">
        <f>O249/N249</f>
        <v>#REF!</v>
      </c>
      <c r="Z249" s="235" t="e">
        <f t="shared" ref="Z249:AG249" si="136">Z250+Z255</f>
        <v>#REF!</v>
      </c>
      <c r="AA249" s="235" t="e">
        <f t="shared" si="136"/>
        <v>#REF!</v>
      </c>
      <c r="AB249" s="235" t="e">
        <f t="shared" si="136"/>
        <v>#REF!</v>
      </c>
      <c r="AC249" s="235" t="e">
        <f t="shared" si="136"/>
        <v>#REF!</v>
      </c>
      <c r="AD249" s="235" t="e">
        <f t="shared" si="136"/>
        <v>#REF!</v>
      </c>
      <c r="AE249" s="235" t="e">
        <f t="shared" si="136"/>
        <v>#REF!</v>
      </c>
      <c r="AF249" s="235" t="e">
        <f t="shared" si="136"/>
        <v>#REF!</v>
      </c>
      <c r="AG249" s="235" t="e">
        <f t="shared" si="136"/>
        <v>#REF!</v>
      </c>
      <c r="AH249" s="235"/>
      <c r="AI249" s="235"/>
      <c r="AJ249" s="235" t="e">
        <f>AC249-AB249</f>
        <v>#REF!</v>
      </c>
      <c r="AK249" s="237" t="e">
        <f>AC249/AB249</f>
        <v>#REF!</v>
      </c>
      <c r="AL249" s="235" t="e">
        <f t="shared" ref="AL249:AS249" si="137">AL250+AL255</f>
        <v>#REF!</v>
      </c>
      <c r="AM249" s="235" t="e">
        <f t="shared" si="137"/>
        <v>#REF!</v>
      </c>
      <c r="AN249" s="235" t="e">
        <f t="shared" si="137"/>
        <v>#REF!</v>
      </c>
      <c r="AO249" s="235" t="e">
        <f t="shared" si="137"/>
        <v>#REF!</v>
      </c>
      <c r="AP249" s="235" t="e">
        <f t="shared" si="137"/>
        <v>#REF!</v>
      </c>
      <c r="AQ249" s="235" t="e">
        <f t="shared" si="137"/>
        <v>#REF!</v>
      </c>
      <c r="AR249" s="235" t="e">
        <f t="shared" si="137"/>
        <v>#REF!</v>
      </c>
      <c r="AS249" s="235" t="e">
        <f t="shared" si="137"/>
        <v>#REF!</v>
      </c>
      <c r="AT249" s="235"/>
      <c r="AU249" s="235"/>
      <c r="AV249" s="235" t="e">
        <f>AO249-AN249</f>
        <v>#REF!</v>
      </c>
      <c r="AW249" s="237" t="e">
        <f>AO249/AN249</f>
        <v>#REF!</v>
      </c>
      <c r="AX249" s="101">
        <f>G249/2</f>
        <v>21</v>
      </c>
      <c r="AY249" s="101">
        <f>SUM(AY250:AY254)</f>
        <v>38.43</v>
      </c>
      <c r="AZ249" s="238" t="e">
        <f>AZ250+AZ255</f>
        <v>#REF!</v>
      </c>
      <c r="BA249" s="239">
        <f>SUM(BA250:BA254)</f>
        <v>30.71</v>
      </c>
      <c r="BB249" s="239">
        <f t="shared" ref="BB249:BG249" si="138">SUM(BB250:BB254)</f>
        <v>0</v>
      </c>
      <c r="BC249" s="239">
        <f t="shared" si="138"/>
        <v>9.1999999999999993</v>
      </c>
      <c r="BD249" s="239">
        <f t="shared" si="138"/>
        <v>0</v>
      </c>
      <c r="BE249" s="240">
        <f t="shared" si="138"/>
        <v>0.75</v>
      </c>
      <c r="BF249" s="238">
        <f t="shared" si="138"/>
        <v>0.28999999999999998</v>
      </c>
      <c r="BG249" s="239">
        <f t="shared" si="138"/>
        <v>0</v>
      </c>
      <c r="BH249" s="239"/>
      <c r="BI249" s="240"/>
      <c r="BJ249" s="417" t="e">
        <f>BA249-AZ249</f>
        <v>#REF!</v>
      </c>
      <c r="BK249" s="545" t="e">
        <f>BA249/AZ249</f>
        <v>#REF!</v>
      </c>
      <c r="BL249" s="546"/>
      <c r="BM249" s="238" t="e">
        <f>BM250+BM255</f>
        <v>#REF!</v>
      </c>
      <c r="BN249" s="239"/>
      <c r="BO249" s="455"/>
      <c r="BP249" s="547"/>
      <c r="BQ249" s="548"/>
      <c r="BR249" s="549"/>
      <c r="BS249" s="550"/>
      <c r="BT249" s="547"/>
      <c r="BU249" s="548"/>
      <c r="BV249" s="549"/>
      <c r="BW249" s="550"/>
      <c r="BX249" s="551">
        <f>BX250</f>
        <v>0</v>
      </c>
      <c r="BY249" s="552">
        <f>F249</f>
        <v>42</v>
      </c>
      <c r="BZ249" s="553" t="e">
        <f>M249+BM249+BQ249+BU249</f>
        <v>#REF!</v>
      </c>
      <c r="CA249" s="548" t="e">
        <f>BZ249-BY249</f>
        <v>#REF!</v>
      </c>
      <c r="CB249" s="554" t="e">
        <f>BZ249/BY249</f>
        <v>#REF!</v>
      </c>
      <c r="CC249" s="309" t="e">
        <f>BZ249-E249</f>
        <v>#REF!</v>
      </c>
      <c r="CD249" s="555" t="e">
        <f>CD250+CD255</f>
        <v>#REF!</v>
      </c>
      <c r="CE249" s="556" t="e">
        <f>CE250+CE255</f>
        <v>#REF!</v>
      </c>
      <c r="CF249" s="557"/>
      <c r="CG249" s="558"/>
      <c r="CH249" s="558"/>
      <c r="CI249" s="558"/>
      <c r="CJ249" s="558"/>
      <c r="CK249" s="558"/>
      <c r="CL249" s="558"/>
      <c r="CM249" s="559"/>
      <c r="CN249" s="559"/>
      <c r="CO249" s="559"/>
      <c r="CP249" s="559"/>
      <c r="CQ249" s="559"/>
      <c r="CR249" s="559"/>
      <c r="CS249" s="559"/>
      <c r="CT249" s="559"/>
      <c r="CU249" s="559"/>
      <c r="CV249" s="559"/>
      <c r="CW249" s="559"/>
      <c r="CX249" s="559"/>
      <c r="CY249" s="559"/>
      <c r="CZ249" s="559"/>
      <c r="DA249" s="101"/>
      <c r="DB249" s="101">
        <f>SUM(DB250:DB254)</f>
        <v>42</v>
      </c>
      <c r="DC249" s="108"/>
      <c r="DD249" s="108"/>
      <c r="DE249" s="108"/>
    </row>
    <row r="250" spans="1:110" hidden="1">
      <c r="A250" s="177"/>
      <c r="B250" s="187" t="s">
        <v>29</v>
      </c>
      <c r="C250" s="49" t="s">
        <v>54</v>
      </c>
      <c r="D250" s="31">
        <v>30</v>
      </c>
      <c r="E250" s="31">
        <v>19.2</v>
      </c>
      <c r="F250" s="31">
        <v>19.2</v>
      </c>
      <c r="G250" s="31">
        <v>19.2</v>
      </c>
      <c r="H250" s="31"/>
      <c r="I250" s="31"/>
      <c r="J250" s="31"/>
      <c r="K250" s="31"/>
      <c r="L250" s="105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106"/>
      <c r="Z250" s="105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107"/>
      <c r="AL250" s="105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107"/>
      <c r="AX250" s="108"/>
      <c r="AY250" s="31">
        <v>14.74</v>
      </c>
      <c r="AZ250" s="109"/>
      <c r="BA250" s="62">
        <v>14.31</v>
      </c>
      <c r="BB250" s="62"/>
      <c r="BC250" s="62">
        <v>4.3</v>
      </c>
      <c r="BD250" s="62"/>
      <c r="BE250" s="110">
        <v>0.32</v>
      </c>
      <c r="BF250" s="109">
        <v>0.12</v>
      </c>
      <c r="BG250" s="62"/>
      <c r="BH250" s="62"/>
      <c r="BI250" s="110"/>
      <c r="BJ250" s="426"/>
      <c r="BK250" s="427"/>
      <c r="BL250" s="560"/>
      <c r="BM250" s="2"/>
      <c r="BN250" s="12"/>
      <c r="BO250" s="585"/>
      <c r="BP250" s="14"/>
      <c r="BQ250" s="15"/>
      <c r="BR250" s="563"/>
      <c r="BS250" s="17"/>
      <c r="BT250" s="14"/>
      <c r="BU250" s="15"/>
      <c r="BV250" s="563"/>
      <c r="BW250" s="17"/>
      <c r="BX250" s="18"/>
      <c r="BY250" s="19"/>
      <c r="BZ250" s="20"/>
      <c r="CA250" s="564"/>
      <c r="CB250" s="21"/>
      <c r="CC250" s="22"/>
      <c r="CD250" s="598"/>
      <c r="CE250" s="599"/>
      <c r="CF250" s="24"/>
      <c r="CG250" s="74"/>
      <c r="CH250" s="74"/>
      <c r="CI250" s="74"/>
      <c r="CJ250" s="74"/>
      <c r="CK250" s="74"/>
      <c r="CL250" s="74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31">
        <v>19.2</v>
      </c>
      <c r="DB250" s="31">
        <v>19.2</v>
      </c>
      <c r="DC250" s="31">
        <v>19.2</v>
      </c>
      <c r="DD250" s="31">
        <v>12</v>
      </c>
      <c r="DE250" s="31">
        <v>19.2</v>
      </c>
    </row>
    <row r="251" spans="1:110" hidden="1">
      <c r="A251" s="177"/>
      <c r="B251" s="187" t="s">
        <v>200</v>
      </c>
      <c r="C251" s="49"/>
      <c r="D251" s="31"/>
      <c r="E251" s="31"/>
      <c r="F251" s="31"/>
      <c r="G251" s="31"/>
      <c r="H251" s="31"/>
      <c r="I251" s="31"/>
      <c r="J251" s="31"/>
      <c r="K251" s="31"/>
      <c r="L251" s="105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106"/>
      <c r="Z251" s="105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107"/>
      <c r="AL251" s="105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107"/>
      <c r="AX251" s="108"/>
      <c r="AY251" s="31"/>
      <c r="AZ251" s="109"/>
      <c r="BA251" s="62"/>
      <c r="BB251" s="62"/>
      <c r="BC251" s="62"/>
      <c r="BD251" s="62"/>
      <c r="BE251" s="110"/>
      <c r="BF251" s="109"/>
      <c r="BG251" s="62"/>
      <c r="BH251" s="62"/>
      <c r="BI251" s="110"/>
      <c r="BJ251" s="426"/>
      <c r="BK251" s="427"/>
      <c r="BL251" s="560"/>
      <c r="BM251" s="2"/>
      <c r="BN251" s="12"/>
      <c r="BO251" s="585"/>
      <c r="BP251" s="14"/>
      <c r="BQ251" s="15"/>
      <c r="BR251" s="563"/>
      <c r="BS251" s="17"/>
      <c r="BT251" s="14"/>
      <c r="BU251" s="15"/>
      <c r="BV251" s="563"/>
      <c r="BW251" s="17"/>
      <c r="BX251" s="18"/>
      <c r="BY251" s="19"/>
      <c r="BZ251" s="20"/>
      <c r="CA251" s="564"/>
      <c r="CB251" s="21"/>
      <c r="CC251" s="22"/>
      <c r="CD251" s="598"/>
      <c r="CE251" s="599"/>
      <c r="CF251" s="24"/>
      <c r="CG251" s="74"/>
      <c r="CH251" s="74"/>
      <c r="CI251" s="74"/>
      <c r="CJ251" s="74"/>
      <c r="CK251" s="74"/>
      <c r="CL251" s="74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31"/>
      <c r="DB251" s="31"/>
      <c r="DC251" s="31"/>
      <c r="DD251" s="31"/>
      <c r="DE251" s="31"/>
    </row>
    <row r="252" spans="1:110" hidden="1">
      <c r="A252" s="177"/>
      <c r="B252" s="187" t="s">
        <v>66</v>
      </c>
      <c r="C252" s="49" t="s">
        <v>54</v>
      </c>
      <c r="D252" s="31">
        <v>5</v>
      </c>
      <c r="E252" s="31">
        <v>5.5</v>
      </c>
      <c r="F252" s="31">
        <v>5.5</v>
      </c>
      <c r="G252" s="31">
        <v>5.5</v>
      </c>
      <c r="H252" s="31"/>
      <c r="I252" s="31"/>
      <c r="J252" s="31"/>
      <c r="K252" s="31"/>
      <c r="L252" s="105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106"/>
      <c r="Z252" s="105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107"/>
      <c r="AL252" s="105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107"/>
      <c r="AX252" s="108"/>
      <c r="AY252" s="31">
        <v>6.05</v>
      </c>
      <c r="AZ252" s="109"/>
      <c r="BA252" s="62">
        <v>4.7</v>
      </c>
      <c r="BB252" s="62"/>
      <c r="BC252" s="62"/>
      <c r="BD252" s="62"/>
      <c r="BE252" s="110"/>
      <c r="BF252" s="109"/>
      <c r="BG252" s="62"/>
      <c r="BH252" s="62"/>
      <c r="BI252" s="110"/>
      <c r="BJ252" s="426"/>
      <c r="BK252" s="427"/>
      <c r="BL252" s="560"/>
      <c r="BM252" s="2"/>
      <c r="BN252" s="12"/>
      <c r="BO252" s="585"/>
      <c r="BP252" s="14"/>
      <c r="BQ252" s="15"/>
      <c r="BR252" s="563"/>
      <c r="BS252" s="17"/>
      <c r="BT252" s="14"/>
      <c r="BU252" s="15"/>
      <c r="BV252" s="563"/>
      <c r="BW252" s="17"/>
      <c r="BX252" s="18"/>
      <c r="BY252" s="19"/>
      <c r="BZ252" s="20"/>
      <c r="CA252" s="564"/>
      <c r="CB252" s="21"/>
      <c r="CC252" s="22"/>
      <c r="CD252" s="598"/>
      <c r="CE252" s="599"/>
      <c r="CF252" s="24"/>
      <c r="CG252" s="74"/>
      <c r="CH252" s="74"/>
      <c r="CI252" s="74"/>
      <c r="CJ252" s="74"/>
      <c r="CK252" s="74"/>
      <c r="CL252" s="74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31">
        <v>5.5</v>
      </c>
      <c r="DB252" s="31">
        <v>5.5</v>
      </c>
      <c r="DC252" s="31">
        <v>5.5</v>
      </c>
      <c r="DD252" s="31">
        <v>1.07</v>
      </c>
      <c r="DE252" s="31">
        <v>5.5</v>
      </c>
    </row>
    <row r="253" spans="1:110" hidden="1">
      <c r="A253" s="177"/>
      <c r="B253" s="187" t="s">
        <v>59</v>
      </c>
      <c r="C253" s="49" t="s">
        <v>54</v>
      </c>
      <c r="D253" s="31">
        <v>7.6</v>
      </c>
      <c r="E253" s="31">
        <v>2</v>
      </c>
      <c r="F253" s="31">
        <v>2</v>
      </c>
      <c r="G253" s="31">
        <v>2</v>
      </c>
      <c r="H253" s="31"/>
      <c r="I253" s="31"/>
      <c r="J253" s="31"/>
      <c r="K253" s="31"/>
      <c r="L253" s="105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106"/>
      <c r="Z253" s="105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107"/>
      <c r="AL253" s="105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107"/>
      <c r="AX253" s="108"/>
      <c r="AY253" s="31"/>
      <c r="AZ253" s="109"/>
      <c r="BA253" s="62">
        <v>1.05</v>
      </c>
      <c r="BB253" s="62"/>
      <c r="BC253" s="62">
        <v>0.59</v>
      </c>
      <c r="BD253" s="62"/>
      <c r="BE253" s="110">
        <v>0.11</v>
      </c>
      <c r="BF253" s="109">
        <v>0.05</v>
      </c>
      <c r="BG253" s="62"/>
      <c r="BH253" s="62"/>
      <c r="BI253" s="110"/>
      <c r="BJ253" s="426"/>
      <c r="BK253" s="427"/>
      <c r="BL253" s="560"/>
      <c r="BM253" s="2"/>
      <c r="BN253" s="12"/>
      <c r="BO253" s="585"/>
      <c r="BP253" s="14"/>
      <c r="BQ253" s="15"/>
      <c r="BR253" s="563"/>
      <c r="BS253" s="17"/>
      <c r="BT253" s="14"/>
      <c r="BU253" s="15"/>
      <c r="BV253" s="563"/>
      <c r="BW253" s="17"/>
      <c r="BX253" s="18"/>
      <c r="BY253" s="19"/>
      <c r="BZ253" s="20"/>
      <c r="CA253" s="564"/>
      <c r="CB253" s="21"/>
      <c r="CC253" s="22"/>
      <c r="CD253" s="598"/>
      <c r="CE253" s="599"/>
      <c r="CF253" s="24"/>
      <c r="CG253" s="74"/>
      <c r="CH253" s="74"/>
      <c r="CI253" s="74"/>
      <c r="CJ253" s="74"/>
      <c r="CK253" s="74"/>
      <c r="CL253" s="74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31">
        <v>2</v>
      </c>
      <c r="DB253" s="31">
        <v>2</v>
      </c>
      <c r="DC253" s="31">
        <v>2</v>
      </c>
      <c r="DD253" s="31">
        <v>4</v>
      </c>
      <c r="DE253" s="31">
        <v>2</v>
      </c>
    </row>
    <row r="254" spans="1:110" hidden="1">
      <c r="A254" s="177"/>
      <c r="B254" s="187" t="s">
        <v>33</v>
      </c>
      <c r="C254" s="49" t="s">
        <v>54</v>
      </c>
      <c r="D254" s="31">
        <v>31.82</v>
      </c>
      <c r="E254" s="31">
        <v>15.3</v>
      </c>
      <c r="F254" s="31">
        <v>15.3</v>
      </c>
      <c r="G254" s="31">
        <v>15.3</v>
      </c>
      <c r="H254" s="31"/>
      <c r="I254" s="31"/>
      <c r="J254" s="31"/>
      <c r="K254" s="31"/>
      <c r="L254" s="105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106"/>
      <c r="Z254" s="105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107"/>
      <c r="AL254" s="105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107"/>
      <c r="AX254" s="108"/>
      <c r="AY254" s="31">
        <v>17.64</v>
      </c>
      <c r="AZ254" s="109"/>
      <c r="BA254" s="62">
        <v>10.65</v>
      </c>
      <c r="BB254" s="62"/>
      <c r="BC254" s="62">
        <v>4.3099999999999996</v>
      </c>
      <c r="BD254" s="62"/>
      <c r="BE254" s="110">
        <v>0.32</v>
      </c>
      <c r="BF254" s="109">
        <v>0.12</v>
      </c>
      <c r="BG254" s="62"/>
      <c r="BH254" s="62"/>
      <c r="BI254" s="110"/>
      <c r="BJ254" s="426"/>
      <c r="BK254" s="427"/>
      <c r="BL254" s="560"/>
      <c r="BM254" s="2"/>
      <c r="BN254" s="12"/>
      <c r="BO254" s="585"/>
      <c r="BP254" s="14"/>
      <c r="BQ254" s="15"/>
      <c r="BR254" s="563"/>
      <c r="BS254" s="17"/>
      <c r="BT254" s="14"/>
      <c r="BU254" s="15"/>
      <c r="BV254" s="563"/>
      <c r="BW254" s="17"/>
      <c r="BX254" s="18"/>
      <c r="BY254" s="19"/>
      <c r="BZ254" s="20"/>
      <c r="CA254" s="564"/>
      <c r="CB254" s="21"/>
      <c r="CC254" s="22"/>
      <c r="CD254" s="598"/>
      <c r="CE254" s="599"/>
      <c r="CF254" s="24"/>
      <c r="CG254" s="74"/>
      <c r="CH254" s="74"/>
      <c r="CI254" s="74"/>
      <c r="CJ254" s="74"/>
      <c r="CK254" s="74"/>
      <c r="CL254" s="74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31">
        <v>15.3</v>
      </c>
      <c r="DB254" s="31">
        <v>15.3</v>
      </c>
      <c r="DC254" s="31">
        <v>15.3</v>
      </c>
      <c r="DD254" s="31">
        <v>6.15</v>
      </c>
      <c r="DE254" s="31">
        <v>15.3</v>
      </c>
    </row>
    <row r="255" spans="1:110">
      <c r="A255" s="232" t="s">
        <v>271</v>
      </c>
      <c r="B255" s="166" t="s">
        <v>6</v>
      </c>
      <c r="C255" s="266" t="s">
        <v>54</v>
      </c>
      <c r="D255" s="108">
        <f>SUM(D256:D262)</f>
        <v>774.83999999999992</v>
      </c>
      <c r="E255" s="108">
        <f>SUM(E256:E262)</f>
        <v>714.3</v>
      </c>
      <c r="F255" s="108">
        <f>SUM(F256:F262)</f>
        <v>714.3</v>
      </c>
      <c r="G255" s="108">
        <f>SUM(G256:G262)</f>
        <v>714.3</v>
      </c>
      <c r="H255" s="234" t="e">
        <f>#REF!+#REF!</f>
        <v>#REF!</v>
      </c>
      <c r="I255" s="234" t="e">
        <f>#REF!+#REF!</f>
        <v>#REF!</v>
      </c>
      <c r="J255" s="234" t="e">
        <f>#REF!+#REF!</f>
        <v>#REF!</v>
      </c>
      <c r="K255" s="234" t="e">
        <f>#REF!+#REF!</f>
        <v>#REF!</v>
      </c>
      <c r="L255" s="235" t="e">
        <f>#REF!+#REF!</f>
        <v>#REF!</v>
      </c>
      <c r="M255" s="235" t="e">
        <f>#REF!+#REF!</f>
        <v>#REF!</v>
      </c>
      <c r="N255" s="235" t="e">
        <f>#REF!+#REF!</f>
        <v>#REF!</v>
      </c>
      <c r="O255" s="235" t="e">
        <f>#REF!+#REF!</f>
        <v>#REF!</v>
      </c>
      <c r="P255" s="235"/>
      <c r="Q255" s="235"/>
      <c r="R255" s="235">
        <v>136.47999999999999</v>
      </c>
      <c r="S255" s="235" t="e">
        <f>#REF!+#REF!</f>
        <v>#REF!</v>
      </c>
      <c r="T255" s="235" t="e">
        <f>#REF!+#REF!</f>
        <v>#REF!</v>
      </c>
      <c r="U255" s="235" t="e">
        <f>#REF!+#REF!</f>
        <v>#REF!</v>
      </c>
      <c r="V255" s="235"/>
      <c r="W255" s="235"/>
      <c r="X255" s="235" t="e">
        <f>O255-N255</f>
        <v>#REF!</v>
      </c>
      <c r="Y255" s="236" t="e">
        <f>O255/N255</f>
        <v>#REF!</v>
      </c>
      <c r="Z255" s="235" t="e">
        <f>#REF!+#REF!</f>
        <v>#REF!</v>
      </c>
      <c r="AA255" s="235" t="e">
        <f>#REF!+#REF!</f>
        <v>#REF!</v>
      </c>
      <c r="AB255" s="235" t="e">
        <f>#REF!+#REF!</f>
        <v>#REF!</v>
      </c>
      <c r="AC255" s="235" t="e">
        <f>#REF!+#REF!</f>
        <v>#REF!</v>
      </c>
      <c r="AD255" s="235" t="e">
        <f>#REF!+#REF!</f>
        <v>#REF!</v>
      </c>
      <c r="AE255" s="235" t="e">
        <f>#REF!+#REF!</f>
        <v>#REF!</v>
      </c>
      <c r="AF255" s="235" t="e">
        <f>#REF!+#REF!</f>
        <v>#REF!</v>
      </c>
      <c r="AG255" s="235" t="e">
        <f>#REF!+#REF!</f>
        <v>#REF!</v>
      </c>
      <c r="AH255" s="235"/>
      <c r="AI255" s="235"/>
      <c r="AJ255" s="235" t="e">
        <f>AC255-AB255</f>
        <v>#REF!</v>
      </c>
      <c r="AK255" s="237" t="e">
        <f>AC255/AB255</f>
        <v>#REF!</v>
      </c>
      <c r="AL255" s="235" t="e">
        <f>#REF!+#REF!</f>
        <v>#REF!</v>
      </c>
      <c r="AM255" s="235" t="e">
        <f>#REF!+#REF!</f>
        <v>#REF!</v>
      </c>
      <c r="AN255" s="235" t="e">
        <f>#REF!+#REF!</f>
        <v>#REF!</v>
      </c>
      <c r="AO255" s="235" t="e">
        <f>#REF!+#REF!</f>
        <v>#REF!</v>
      </c>
      <c r="AP255" s="235" t="e">
        <f>#REF!+#REF!</f>
        <v>#REF!</v>
      </c>
      <c r="AQ255" s="235" t="e">
        <f>#REF!+#REF!</f>
        <v>#REF!</v>
      </c>
      <c r="AR255" s="235" t="e">
        <f>#REF!+#REF!</f>
        <v>#REF!</v>
      </c>
      <c r="AS255" s="235" t="e">
        <f>#REF!+#REF!</f>
        <v>#REF!</v>
      </c>
      <c r="AT255" s="235"/>
      <c r="AU255" s="235"/>
      <c r="AV255" s="235" t="e">
        <f>AO255-AN255</f>
        <v>#REF!</v>
      </c>
      <c r="AW255" s="237" t="e">
        <f>AO255/AN255</f>
        <v>#REF!</v>
      </c>
      <c r="AX255" s="101">
        <f>G255/2</f>
        <v>357.15</v>
      </c>
      <c r="AY255" s="101">
        <f>SUM(AY256:AY262)</f>
        <v>653.88</v>
      </c>
      <c r="AZ255" s="238" t="e">
        <f>#REF!+#REF!</f>
        <v>#REF!</v>
      </c>
      <c r="BA255" s="239">
        <f>SUM(BA256:BA262)</f>
        <v>400.63</v>
      </c>
      <c r="BB255" s="239">
        <f t="shared" ref="BB255:BG255" si="139">SUM(BB256:BB262)</f>
        <v>0</v>
      </c>
      <c r="BC255" s="239">
        <f t="shared" si="139"/>
        <v>111.52000000000001</v>
      </c>
      <c r="BD255" s="239">
        <f t="shared" si="139"/>
        <v>0</v>
      </c>
      <c r="BE255" s="240">
        <f t="shared" si="139"/>
        <v>127.34</v>
      </c>
      <c r="BF255" s="238">
        <f t="shared" si="139"/>
        <v>71.31</v>
      </c>
      <c r="BG255" s="239">
        <f t="shared" si="139"/>
        <v>0.91</v>
      </c>
      <c r="BH255" s="239"/>
      <c r="BI255" s="240"/>
      <c r="BJ255" s="417" t="e">
        <f>BA255-AZ255</f>
        <v>#REF!</v>
      </c>
      <c r="BK255" s="545" t="e">
        <f>BA255/AZ255</f>
        <v>#REF!</v>
      </c>
      <c r="BL255" s="546"/>
      <c r="BM255" s="238" t="e">
        <f>#REF!+#REF!</f>
        <v>#REF!</v>
      </c>
      <c r="BN255" s="239"/>
      <c r="BO255" s="455"/>
      <c r="BP255" s="547"/>
      <c r="BQ255" s="548"/>
      <c r="BR255" s="549"/>
      <c r="BS255" s="550"/>
      <c r="BT255" s="547"/>
      <c r="BU255" s="548"/>
      <c r="BV255" s="549"/>
      <c r="BW255" s="550"/>
      <c r="BX255" s="551" t="e">
        <f>#REF!</f>
        <v>#REF!</v>
      </c>
      <c r="BY255" s="552">
        <f>F255</f>
        <v>714.3</v>
      </c>
      <c r="BZ255" s="553" t="e">
        <f>M255+BM255+BQ255+BU255</f>
        <v>#REF!</v>
      </c>
      <c r="CA255" s="548" t="e">
        <f>BZ255-BY255</f>
        <v>#REF!</v>
      </c>
      <c r="CB255" s="554" t="e">
        <f>BZ255/BY255</f>
        <v>#REF!</v>
      </c>
      <c r="CC255" s="309" t="e">
        <f>BZ255-E255</f>
        <v>#REF!</v>
      </c>
      <c r="CD255" s="555" t="e">
        <f>#REF!+#REF!</f>
        <v>#REF!</v>
      </c>
      <c r="CE255" s="556" t="e">
        <f>#REF!+#REF!</f>
        <v>#REF!</v>
      </c>
      <c r="CF255" s="557"/>
      <c r="CG255" s="558"/>
      <c r="CH255" s="558"/>
      <c r="CI255" s="558"/>
      <c r="CJ255" s="558"/>
      <c r="CK255" s="558"/>
      <c r="CL255" s="558"/>
      <c r="CM255" s="559"/>
      <c r="CN255" s="559"/>
      <c r="CO255" s="559"/>
      <c r="CP255" s="559"/>
      <c r="CQ255" s="559"/>
      <c r="CR255" s="559"/>
      <c r="CS255" s="559"/>
      <c r="CT255" s="559"/>
      <c r="CU255" s="559"/>
      <c r="CV255" s="559"/>
      <c r="CW255" s="559"/>
      <c r="CX255" s="559"/>
      <c r="CY255" s="559"/>
      <c r="CZ255" s="559"/>
      <c r="DA255" s="101">
        <v>1120.8800000000001</v>
      </c>
      <c r="DB255" s="101">
        <f>SUM(DB256:DB262)</f>
        <v>714.3</v>
      </c>
      <c r="DC255" s="108">
        <v>1602.7</v>
      </c>
      <c r="DD255" s="108">
        <v>1535.9</v>
      </c>
      <c r="DE255" s="108">
        <v>1641.07</v>
      </c>
    </row>
    <row r="256" spans="1:110" hidden="1">
      <c r="A256" s="177"/>
      <c r="B256" s="187" t="s">
        <v>31</v>
      </c>
      <c r="C256" s="49" t="s">
        <v>54</v>
      </c>
      <c r="D256" s="31">
        <v>676.37</v>
      </c>
      <c r="E256" s="31">
        <v>603.9</v>
      </c>
      <c r="F256" s="31">
        <v>603.9</v>
      </c>
      <c r="G256" s="31">
        <v>603.9</v>
      </c>
      <c r="H256" s="31"/>
      <c r="I256" s="31"/>
      <c r="J256" s="31"/>
      <c r="K256" s="31"/>
      <c r="L256" s="105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106"/>
      <c r="Z256" s="105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107"/>
      <c r="AL256" s="105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107"/>
      <c r="AX256" s="108"/>
      <c r="AY256" s="31">
        <v>545.11</v>
      </c>
      <c r="AZ256" s="109"/>
      <c r="BA256" s="62">
        <v>339.69</v>
      </c>
      <c r="BB256" s="62"/>
      <c r="BC256" s="62">
        <v>86.42</v>
      </c>
      <c r="BD256" s="62"/>
      <c r="BE256" s="110">
        <v>122.7</v>
      </c>
      <c r="BF256" s="109">
        <v>10.35</v>
      </c>
      <c r="BG256" s="62"/>
      <c r="BH256" s="62"/>
      <c r="BI256" s="110"/>
      <c r="BJ256" s="426"/>
      <c r="BK256" s="427"/>
      <c r="BL256" s="560"/>
      <c r="BM256" s="2"/>
      <c r="BN256" s="12"/>
      <c r="BO256" s="585"/>
      <c r="BP256" s="14"/>
      <c r="BQ256" s="15"/>
      <c r="BR256" s="563"/>
      <c r="BS256" s="17"/>
      <c r="BT256" s="14"/>
      <c r="BU256" s="15"/>
      <c r="BV256" s="563"/>
      <c r="BW256" s="17"/>
      <c r="BX256" s="18"/>
      <c r="BY256" s="19"/>
      <c r="BZ256" s="20"/>
      <c r="CA256" s="564"/>
      <c r="CB256" s="21"/>
      <c r="CC256" s="22"/>
      <c r="CD256" s="598"/>
      <c r="CE256" s="599"/>
      <c r="CF256" s="24"/>
      <c r="CG256" s="74"/>
      <c r="CH256" s="74"/>
      <c r="CI256" s="74"/>
      <c r="CJ256" s="74"/>
      <c r="CK256" s="74"/>
      <c r="CL256" s="74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31">
        <v>603.9</v>
      </c>
      <c r="DB256" s="31">
        <v>603.9</v>
      </c>
      <c r="DC256" s="31">
        <v>603.9</v>
      </c>
      <c r="DD256" s="31">
        <v>575.80999999999995</v>
      </c>
      <c r="DE256" s="31">
        <v>603.9</v>
      </c>
    </row>
    <row r="257" spans="1:110" hidden="1">
      <c r="A257" s="177"/>
      <c r="B257" s="187" t="s">
        <v>55</v>
      </c>
      <c r="C257" s="49" t="s">
        <v>54</v>
      </c>
      <c r="D257" s="31"/>
      <c r="E257" s="31"/>
      <c r="F257" s="31"/>
      <c r="G257" s="31"/>
      <c r="H257" s="31"/>
      <c r="I257" s="31"/>
      <c r="J257" s="31"/>
      <c r="K257" s="31"/>
      <c r="L257" s="105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106"/>
      <c r="Z257" s="105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107"/>
      <c r="AL257" s="105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107"/>
      <c r="AX257" s="108"/>
      <c r="AY257" s="31"/>
      <c r="AZ257" s="109"/>
      <c r="BA257" s="62"/>
      <c r="BB257" s="62"/>
      <c r="BC257" s="62"/>
      <c r="BD257" s="62"/>
      <c r="BE257" s="110"/>
      <c r="BF257" s="109"/>
      <c r="BG257" s="62"/>
      <c r="BH257" s="62"/>
      <c r="BI257" s="110"/>
      <c r="BJ257" s="426"/>
      <c r="BK257" s="427"/>
      <c r="BL257" s="560"/>
      <c r="BM257" s="2"/>
      <c r="BN257" s="12"/>
      <c r="BO257" s="585"/>
      <c r="BP257" s="14"/>
      <c r="BQ257" s="15"/>
      <c r="BR257" s="563"/>
      <c r="BS257" s="17"/>
      <c r="BT257" s="14"/>
      <c r="BU257" s="15"/>
      <c r="BV257" s="563"/>
      <c r="BW257" s="17"/>
      <c r="BX257" s="18"/>
      <c r="BY257" s="19"/>
      <c r="BZ257" s="20"/>
      <c r="CA257" s="564"/>
      <c r="CB257" s="21"/>
      <c r="CC257" s="22"/>
      <c r="CD257" s="598"/>
      <c r="CE257" s="599"/>
      <c r="CF257" s="24"/>
      <c r="CG257" s="74"/>
      <c r="CH257" s="74"/>
      <c r="CI257" s="74"/>
      <c r="CJ257" s="74"/>
      <c r="CK257" s="74"/>
      <c r="CL257" s="74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31"/>
      <c r="DB257" s="31"/>
      <c r="DC257" s="31"/>
      <c r="DD257" s="31"/>
      <c r="DE257" s="31"/>
    </row>
    <row r="258" spans="1:110" hidden="1">
      <c r="A258" s="177"/>
      <c r="B258" s="187" t="s">
        <v>233</v>
      </c>
      <c r="C258" s="49"/>
      <c r="D258" s="31"/>
      <c r="E258" s="31"/>
      <c r="F258" s="31"/>
      <c r="G258" s="31"/>
      <c r="H258" s="31"/>
      <c r="I258" s="31"/>
      <c r="J258" s="31"/>
      <c r="K258" s="31"/>
      <c r="L258" s="105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106"/>
      <c r="Z258" s="105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107"/>
      <c r="AL258" s="105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107"/>
      <c r="AX258" s="108"/>
      <c r="AY258" s="31"/>
      <c r="AZ258" s="109"/>
      <c r="BA258" s="62"/>
      <c r="BB258" s="62"/>
      <c r="BC258" s="62"/>
      <c r="BD258" s="62"/>
      <c r="BE258" s="110"/>
      <c r="BF258" s="109"/>
      <c r="BG258" s="62">
        <v>0.91</v>
      </c>
      <c r="BH258" s="62"/>
      <c r="BI258" s="110"/>
      <c r="BJ258" s="426"/>
      <c r="BK258" s="427"/>
      <c r="BL258" s="560"/>
      <c r="BM258" s="2"/>
      <c r="BN258" s="12"/>
      <c r="BO258" s="585"/>
      <c r="BP258" s="14"/>
      <c r="BQ258" s="15"/>
      <c r="BR258" s="563"/>
      <c r="BS258" s="17"/>
      <c r="BT258" s="14"/>
      <c r="BU258" s="15"/>
      <c r="BV258" s="563"/>
      <c r="BW258" s="17"/>
      <c r="BX258" s="18"/>
      <c r="BY258" s="19"/>
      <c r="BZ258" s="20"/>
      <c r="CA258" s="564"/>
      <c r="CB258" s="21"/>
      <c r="CC258" s="22"/>
      <c r="CD258" s="598"/>
      <c r="CE258" s="599"/>
      <c r="CF258" s="24"/>
      <c r="CG258" s="74"/>
      <c r="CH258" s="74"/>
      <c r="CI258" s="74"/>
      <c r="CJ258" s="74"/>
      <c r="CK258" s="74"/>
      <c r="CL258" s="74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31"/>
      <c r="DB258" s="31"/>
      <c r="DC258" s="31"/>
      <c r="DD258" s="31"/>
      <c r="DE258" s="31"/>
    </row>
    <row r="259" spans="1:110" hidden="1">
      <c r="A259" s="177"/>
      <c r="B259" s="187" t="s">
        <v>186</v>
      </c>
      <c r="C259" s="49" t="s">
        <v>54</v>
      </c>
      <c r="D259" s="31"/>
      <c r="E259" s="31"/>
      <c r="F259" s="31"/>
      <c r="G259" s="31"/>
      <c r="H259" s="31"/>
      <c r="I259" s="31"/>
      <c r="J259" s="31"/>
      <c r="K259" s="31"/>
      <c r="L259" s="105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106"/>
      <c r="Z259" s="105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107"/>
      <c r="AL259" s="105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107"/>
      <c r="AX259" s="108"/>
      <c r="AY259" s="31"/>
      <c r="AZ259" s="109"/>
      <c r="BA259" s="62"/>
      <c r="BB259" s="62"/>
      <c r="BC259" s="62"/>
      <c r="BD259" s="62"/>
      <c r="BE259" s="110"/>
      <c r="BF259" s="109"/>
      <c r="BG259" s="62"/>
      <c r="BH259" s="62"/>
      <c r="BI259" s="110"/>
      <c r="BJ259" s="426"/>
      <c r="BK259" s="427"/>
      <c r="BL259" s="560"/>
      <c r="BM259" s="2"/>
      <c r="BN259" s="12"/>
      <c r="BO259" s="585"/>
      <c r="BP259" s="14"/>
      <c r="BQ259" s="15"/>
      <c r="BR259" s="563"/>
      <c r="BS259" s="17"/>
      <c r="BT259" s="14"/>
      <c r="BU259" s="15"/>
      <c r="BV259" s="563"/>
      <c r="BW259" s="17"/>
      <c r="BX259" s="18"/>
      <c r="BY259" s="19"/>
      <c r="BZ259" s="20"/>
      <c r="CA259" s="564"/>
      <c r="CB259" s="21"/>
      <c r="CC259" s="22"/>
      <c r="CD259" s="598"/>
      <c r="CE259" s="599"/>
      <c r="CF259" s="24"/>
      <c r="CG259" s="74"/>
      <c r="CH259" s="74"/>
      <c r="CI259" s="74"/>
      <c r="CJ259" s="74"/>
      <c r="CK259" s="74"/>
      <c r="CL259" s="74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31"/>
      <c r="DB259" s="31"/>
      <c r="DC259" s="31"/>
      <c r="DD259" s="31"/>
      <c r="DE259" s="31"/>
    </row>
    <row r="260" spans="1:110" hidden="1">
      <c r="A260" s="177"/>
      <c r="B260" s="187" t="s">
        <v>159</v>
      </c>
      <c r="C260" s="49" t="s">
        <v>54</v>
      </c>
      <c r="D260" s="31">
        <v>2.4</v>
      </c>
      <c r="E260" s="31">
        <v>2.4</v>
      </c>
      <c r="F260" s="31">
        <v>2.4</v>
      </c>
      <c r="G260" s="31">
        <v>2.4</v>
      </c>
      <c r="H260" s="31"/>
      <c r="I260" s="31"/>
      <c r="J260" s="31"/>
      <c r="K260" s="31"/>
      <c r="L260" s="105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106"/>
      <c r="Z260" s="105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107"/>
      <c r="AL260" s="105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107"/>
      <c r="AX260" s="108"/>
      <c r="AY260" s="31">
        <f>SUM(BA260,BC260,BE260)</f>
        <v>2.4000000000000004</v>
      </c>
      <c r="AZ260" s="109"/>
      <c r="BA260" s="62">
        <v>1.51</v>
      </c>
      <c r="BB260" s="62"/>
      <c r="BC260" s="62">
        <v>0.81</v>
      </c>
      <c r="BD260" s="62"/>
      <c r="BE260" s="110">
        <v>0.08</v>
      </c>
      <c r="BF260" s="109"/>
      <c r="BG260" s="62"/>
      <c r="BH260" s="62"/>
      <c r="BI260" s="110"/>
      <c r="BJ260" s="426"/>
      <c r="BK260" s="427"/>
      <c r="BL260" s="560"/>
      <c r="BM260" s="2"/>
      <c r="BN260" s="12"/>
      <c r="BO260" s="585"/>
      <c r="BP260" s="14"/>
      <c r="BQ260" s="15"/>
      <c r="BR260" s="563"/>
      <c r="BS260" s="17"/>
      <c r="BT260" s="14"/>
      <c r="BU260" s="15"/>
      <c r="BV260" s="563"/>
      <c r="BW260" s="17"/>
      <c r="BX260" s="18"/>
      <c r="BY260" s="19"/>
      <c r="BZ260" s="20"/>
      <c r="CA260" s="564"/>
      <c r="CB260" s="21"/>
      <c r="CC260" s="22"/>
      <c r="CD260" s="598"/>
      <c r="CE260" s="599"/>
      <c r="CF260" s="24"/>
      <c r="CG260" s="74"/>
      <c r="CH260" s="74"/>
      <c r="CI260" s="74"/>
      <c r="CJ260" s="74"/>
      <c r="CK260" s="74"/>
      <c r="CL260" s="74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31">
        <v>2.4</v>
      </c>
      <c r="DB260" s="31">
        <v>2.4</v>
      </c>
      <c r="DC260" s="31">
        <v>2.4</v>
      </c>
      <c r="DD260" s="31">
        <v>2.4</v>
      </c>
      <c r="DE260" s="31">
        <v>2.4</v>
      </c>
    </row>
    <row r="261" spans="1:110" hidden="1">
      <c r="A261" s="177"/>
      <c r="B261" s="187" t="s">
        <v>7</v>
      </c>
      <c r="C261" s="49" t="s">
        <v>54</v>
      </c>
      <c r="D261" s="33">
        <v>53.14</v>
      </c>
      <c r="E261" s="33">
        <v>70</v>
      </c>
      <c r="F261" s="33">
        <v>70</v>
      </c>
      <c r="G261" s="33">
        <v>70</v>
      </c>
      <c r="H261" s="31"/>
      <c r="I261" s="31"/>
      <c r="J261" s="31"/>
      <c r="K261" s="31"/>
      <c r="L261" s="105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106"/>
      <c r="Z261" s="105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107"/>
      <c r="AL261" s="105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107"/>
      <c r="AX261" s="108"/>
      <c r="AY261" s="31">
        <v>106.37</v>
      </c>
      <c r="AZ261" s="109"/>
      <c r="BA261" s="62">
        <v>24.29</v>
      </c>
      <c r="BB261" s="62"/>
      <c r="BC261" s="62">
        <v>24.29</v>
      </c>
      <c r="BD261" s="62"/>
      <c r="BE261" s="110">
        <v>4.5599999999999996</v>
      </c>
      <c r="BF261" s="109">
        <v>60.96</v>
      </c>
      <c r="BG261" s="62"/>
      <c r="BH261" s="62"/>
      <c r="BI261" s="110"/>
      <c r="BJ261" s="426"/>
      <c r="BK261" s="427"/>
      <c r="BL261" s="560"/>
      <c r="BM261" s="2"/>
      <c r="BN261" s="12"/>
      <c r="BO261" s="585"/>
      <c r="BP261" s="14"/>
      <c r="BQ261" s="15"/>
      <c r="BR261" s="563"/>
      <c r="BS261" s="17"/>
      <c r="BT261" s="14"/>
      <c r="BU261" s="15"/>
      <c r="BV261" s="563"/>
      <c r="BW261" s="17"/>
      <c r="BX261" s="18"/>
      <c r="BY261" s="19"/>
      <c r="BZ261" s="20"/>
      <c r="CA261" s="564"/>
      <c r="CB261" s="21"/>
      <c r="CC261" s="22"/>
      <c r="CD261" s="598"/>
      <c r="CE261" s="599"/>
      <c r="CF261" s="24"/>
      <c r="CG261" s="74"/>
      <c r="CH261" s="74"/>
      <c r="CI261" s="74"/>
      <c r="CJ261" s="74"/>
      <c r="CK261" s="74"/>
      <c r="CL261" s="74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31">
        <v>70</v>
      </c>
      <c r="DB261" s="31">
        <v>70</v>
      </c>
      <c r="DC261" s="33">
        <v>70</v>
      </c>
      <c r="DD261" s="33">
        <v>72.099999999999994</v>
      </c>
      <c r="DE261" s="767">
        <v>78.91</v>
      </c>
      <c r="DF261" s="768"/>
    </row>
    <row r="262" spans="1:110" hidden="1">
      <c r="A262" s="267"/>
      <c r="B262" s="268" t="s">
        <v>166</v>
      </c>
      <c r="C262" s="49" t="s">
        <v>54</v>
      </c>
      <c r="D262" s="270">
        <v>42.93</v>
      </c>
      <c r="E262" s="270">
        <v>38</v>
      </c>
      <c r="F262" s="270">
        <v>38</v>
      </c>
      <c r="G262" s="270">
        <v>38</v>
      </c>
      <c r="H262" s="270"/>
      <c r="I262" s="270"/>
      <c r="J262" s="270"/>
      <c r="K262" s="270"/>
      <c r="L262" s="271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  <c r="X262" s="270"/>
      <c r="Y262" s="272"/>
      <c r="Z262" s="271"/>
      <c r="AA262" s="270"/>
      <c r="AB262" s="270"/>
      <c r="AC262" s="270"/>
      <c r="AD262" s="270"/>
      <c r="AE262" s="270"/>
      <c r="AF262" s="270"/>
      <c r="AG262" s="270"/>
      <c r="AH262" s="270"/>
      <c r="AI262" s="270"/>
      <c r="AJ262" s="270"/>
      <c r="AK262" s="273"/>
      <c r="AL262" s="271"/>
      <c r="AM262" s="270"/>
      <c r="AN262" s="270"/>
      <c r="AO262" s="270"/>
      <c r="AP262" s="270"/>
      <c r="AQ262" s="270"/>
      <c r="AR262" s="270"/>
      <c r="AS262" s="270"/>
      <c r="AT262" s="270"/>
      <c r="AU262" s="270"/>
      <c r="AV262" s="270"/>
      <c r="AW262" s="273"/>
      <c r="AX262" s="274"/>
      <c r="AY262" s="31"/>
      <c r="AZ262" s="275"/>
      <c r="BA262" s="276">
        <v>35.14</v>
      </c>
      <c r="BB262" s="276"/>
      <c r="BC262" s="276"/>
      <c r="BD262" s="276"/>
      <c r="BE262" s="110"/>
      <c r="BF262" s="275"/>
      <c r="BG262" s="276"/>
      <c r="BH262" s="276"/>
      <c r="BI262" s="600"/>
      <c r="BJ262" s="601"/>
      <c r="BK262" s="602"/>
      <c r="BL262" s="603"/>
      <c r="BM262" s="275"/>
      <c r="BN262" s="276"/>
      <c r="BO262" s="604"/>
      <c r="BP262" s="605"/>
      <c r="BQ262" s="606"/>
      <c r="BR262" s="607"/>
      <c r="BS262" s="608"/>
      <c r="BT262" s="605"/>
      <c r="BU262" s="606"/>
      <c r="BV262" s="607"/>
      <c r="BW262" s="608"/>
      <c r="BX262" s="609"/>
      <c r="BY262" s="610"/>
      <c r="BZ262" s="83"/>
      <c r="CA262" s="611"/>
      <c r="CB262" s="612"/>
      <c r="CC262" s="269"/>
      <c r="CD262" s="613"/>
      <c r="CE262" s="614"/>
      <c r="CF262" s="615"/>
      <c r="CG262" s="616"/>
      <c r="CH262" s="616"/>
      <c r="CI262" s="616"/>
      <c r="CJ262" s="616"/>
      <c r="CK262" s="616"/>
      <c r="CL262" s="616"/>
      <c r="CM262" s="617"/>
      <c r="CN262" s="617"/>
      <c r="CO262" s="617"/>
      <c r="CP262" s="617"/>
      <c r="CQ262" s="617"/>
      <c r="CR262" s="617"/>
      <c r="CS262" s="617"/>
      <c r="CT262" s="617"/>
      <c r="CU262" s="617"/>
      <c r="CV262" s="617"/>
      <c r="CW262" s="617"/>
      <c r="CX262" s="617"/>
      <c r="CY262" s="617"/>
      <c r="CZ262" s="617"/>
      <c r="DA262" s="31">
        <v>38</v>
      </c>
      <c r="DB262" s="31">
        <v>38</v>
      </c>
      <c r="DC262" s="270">
        <v>128</v>
      </c>
      <c r="DD262" s="270">
        <v>49.83</v>
      </c>
      <c r="DE262" s="772">
        <v>78</v>
      </c>
      <c r="DF262" s="768"/>
    </row>
    <row r="263" spans="1:110" hidden="1">
      <c r="A263" s="208">
        <v>8</v>
      </c>
      <c r="B263" s="160" t="s">
        <v>70</v>
      </c>
      <c r="C263" s="161" t="s">
        <v>54</v>
      </c>
      <c r="D263" s="117">
        <f>SUM(D264,D266,D271,D274,D289,D291,D293)</f>
        <v>0</v>
      </c>
      <c r="E263" s="117">
        <f>SUM(E264,E266,E271,E274,E289,E291,E293)</f>
        <v>0</v>
      </c>
      <c r="F263" s="117">
        <f>SUM(F264,F266,F271,F274,F289,F291,F293)</f>
        <v>0</v>
      </c>
      <c r="G263" s="117">
        <f>SUM(G264,G266,G271,G274,G289,G291,G293)</f>
        <v>0</v>
      </c>
      <c r="H263" s="277"/>
      <c r="I263" s="277"/>
      <c r="J263" s="277"/>
      <c r="K263" s="277"/>
      <c r="L263" s="277"/>
      <c r="M263" s="117">
        <f>M264+M266+M274+M289+M291+M293</f>
        <v>185.20255</v>
      </c>
      <c r="N263" s="117"/>
      <c r="O263" s="117"/>
      <c r="P263" s="117"/>
      <c r="Q263" s="117"/>
      <c r="R263" s="117"/>
      <c r="S263" s="117"/>
      <c r="T263" s="117"/>
      <c r="U263" s="117"/>
      <c r="V263" s="117"/>
      <c r="W263" s="117">
        <f>W264+W266+W274+W289+W291+W293</f>
        <v>185.20000000000002</v>
      </c>
      <c r="X263" s="277"/>
      <c r="Y263" s="119"/>
      <c r="Z263" s="277"/>
      <c r="AA263" s="117">
        <f>AA264+AA266+AA274+AA289+AA291+AA293</f>
        <v>205.85549</v>
      </c>
      <c r="AB263" s="117"/>
      <c r="AC263" s="117"/>
      <c r="AD263" s="117"/>
      <c r="AE263" s="117"/>
      <c r="AF263" s="117"/>
      <c r="AG263" s="117"/>
      <c r="AH263" s="117"/>
      <c r="AI263" s="117">
        <f>AI264+AI266+AI274+AI289+AI291+AI293</f>
        <v>0</v>
      </c>
      <c r="AJ263" s="277"/>
      <c r="AK263" s="120"/>
      <c r="AL263" s="277"/>
      <c r="AM263" s="117">
        <f>AM264+AM266+AM274+AM289+AM291+AM293</f>
        <v>205.85549</v>
      </c>
      <c r="AN263" s="117"/>
      <c r="AO263" s="117"/>
      <c r="AP263" s="117"/>
      <c r="AQ263" s="117"/>
      <c r="AR263" s="117"/>
      <c r="AS263" s="117"/>
      <c r="AT263" s="117"/>
      <c r="AU263" s="117">
        <f>AU264+AU266+AU274+AU289+AU291+AU293</f>
        <v>0</v>
      </c>
      <c r="AV263" s="277"/>
      <c r="AW263" s="120"/>
      <c r="AX263" s="117">
        <v>1122.8499999999999</v>
      </c>
      <c r="AY263" s="117">
        <f>AY264+AY266+AY274+AY289+AY291+AY293+AY271</f>
        <v>0</v>
      </c>
      <c r="AZ263" s="121"/>
      <c r="BA263" s="122"/>
      <c r="BB263" s="122"/>
      <c r="BC263" s="122"/>
      <c r="BD263" s="122"/>
      <c r="BE263" s="123"/>
      <c r="BF263" s="121">
        <f>BF266+BF264+BF274</f>
        <v>257.25414000000001</v>
      </c>
      <c r="BG263" s="122"/>
      <c r="BH263" s="122">
        <f>BH264+BH266+BH274+BH289+BH291+BH293+BH271</f>
        <v>-247.29414</v>
      </c>
      <c r="BI263" s="123"/>
      <c r="BJ263" s="288"/>
      <c r="BK263" s="407"/>
      <c r="BL263" s="618"/>
      <c r="BM263" s="121">
        <f>BM264+BM266+BM274+BM289+BM291+BM293</f>
        <v>205.85549</v>
      </c>
      <c r="BN263" s="122"/>
      <c r="BO263" s="409"/>
      <c r="BP263" s="448"/>
      <c r="BQ263" s="516"/>
      <c r="BR263" s="619"/>
      <c r="BS263" s="518"/>
      <c r="BT263" s="448"/>
      <c r="BU263" s="516"/>
      <c r="BV263" s="619"/>
      <c r="BW263" s="518"/>
      <c r="BX263" s="411"/>
      <c r="BY263" s="449"/>
      <c r="BZ263" s="209">
        <f>BZ264+BZ266+BZ274+BZ289+BZ291+BZ293</f>
        <v>391.05803999999995</v>
      </c>
      <c r="CA263" s="620"/>
      <c r="CB263" s="515"/>
      <c r="CC263" s="414">
        <f>BZ263-E263</f>
        <v>391.05803999999995</v>
      </c>
      <c r="CD263" s="621">
        <v>0</v>
      </c>
      <c r="CE263" s="622">
        <v>21.65</v>
      </c>
      <c r="CF263" s="519">
        <f>CF264+CF266+CF274+CF289+CF291+CF293</f>
        <v>627.39329999999995</v>
      </c>
      <c r="CG263" s="450"/>
      <c r="CH263" s="450"/>
      <c r="CI263" s="450"/>
      <c r="CJ263" s="450"/>
      <c r="CK263" s="450"/>
      <c r="CL263" s="450"/>
      <c r="CM263" s="451"/>
      <c r="CN263" s="451"/>
      <c r="CO263" s="451"/>
      <c r="CP263" s="451"/>
      <c r="CQ263" s="451"/>
      <c r="CR263" s="451"/>
      <c r="CS263" s="451"/>
      <c r="CT263" s="451"/>
      <c r="CU263" s="451"/>
      <c r="CV263" s="451"/>
      <c r="CW263" s="451"/>
      <c r="CX263" s="451"/>
      <c r="CY263" s="451"/>
      <c r="CZ263" s="451"/>
      <c r="DA263" s="117">
        <f>DA264+DA266+DA274+DA289+DA291+DA293+DA271</f>
        <v>0</v>
      </c>
      <c r="DB263" s="117">
        <f>DB264+DB266+DB274+DB289+DB291+DB293+DB271</f>
        <v>0</v>
      </c>
      <c r="DC263" s="117">
        <f>SUM(DC264,DC266,DC271,DC274,DC289,DC291,DC293)</f>
        <v>0</v>
      </c>
      <c r="DD263" s="117">
        <f>SUM(DD264,DD266,DD271,DD274,DD289,DD291,DD293)</f>
        <v>0</v>
      </c>
      <c r="DE263" s="117">
        <f>SUM(DE264,DE266,DE271,DE274,DE289,DE291,DE293)</f>
        <v>0</v>
      </c>
    </row>
    <row r="264" spans="1:110" hidden="1">
      <c r="A264" s="278" t="s">
        <v>142</v>
      </c>
      <c r="B264" s="248" t="s">
        <v>115</v>
      </c>
      <c r="C264" s="249" t="s">
        <v>54</v>
      </c>
      <c r="D264" s="173"/>
      <c r="E264" s="173"/>
      <c r="F264" s="173"/>
      <c r="G264" s="173"/>
      <c r="H264" s="279"/>
      <c r="I264" s="279"/>
      <c r="J264" s="279"/>
      <c r="K264" s="279"/>
      <c r="L264" s="279"/>
      <c r="M264" s="169">
        <f>SUM(M265)</f>
        <v>11.49</v>
      </c>
      <c r="N264" s="169"/>
      <c r="O264" s="169"/>
      <c r="P264" s="169"/>
      <c r="Q264" s="169"/>
      <c r="R264" s="169"/>
      <c r="S264" s="169"/>
      <c r="T264" s="169"/>
      <c r="U264" s="169"/>
      <c r="V264" s="169"/>
      <c r="W264" s="169">
        <f>SUM(W265)</f>
        <v>11.49</v>
      </c>
      <c r="X264" s="279"/>
      <c r="Y264" s="280"/>
      <c r="Z264" s="279"/>
      <c r="AA264" s="169">
        <f>SUM(AA265)</f>
        <v>11.494</v>
      </c>
      <c r="AB264" s="169"/>
      <c r="AC264" s="169"/>
      <c r="AD264" s="169"/>
      <c r="AE264" s="169"/>
      <c r="AF264" s="169"/>
      <c r="AG264" s="169"/>
      <c r="AH264" s="169"/>
      <c r="AI264" s="169">
        <f>SUM(AI265)</f>
        <v>0</v>
      </c>
      <c r="AJ264" s="279"/>
      <c r="AK264" s="281"/>
      <c r="AL264" s="279"/>
      <c r="AM264" s="169">
        <f>SUM(AM265)</f>
        <v>11.494</v>
      </c>
      <c r="AN264" s="169"/>
      <c r="AO264" s="169"/>
      <c r="AP264" s="169"/>
      <c r="AQ264" s="169"/>
      <c r="AR264" s="169"/>
      <c r="AS264" s="169"/>
      <c r="AT264" s="169"/>
      <c r="AU264" s="169">
        <f>SUM(AU265)</f>
        <v>0</v>
      </c>
      <c r="AV264" s="279"/>
      <c r="AW264" s="281"/>
      <c r="AX264" s="101">
        <v>68.959999999999994</v>
      </c>
      <c r="AY264" s="167"/>
      <c r="AZ264" s="174"/>
      <c r="BA264" s="175"/>
      <c r="BB264" s="175"/>
      <c r="BC264" s="175"/>
      <c r="BD264" s="175"/>
      <c r="BE264" s="176"/>
      <c r="BF264" s="174">
        <v>17.399999999999999</v>
      </c>
      <c r="BG264" s="175"/>
      <c r="BH264" s="175">
        <f>SUM(BH265)</f>
        <v>-17.399999999999999</v>
      </c>
      <c r="BI264" s="176"/>
      <c r="BJ264" s="417">
        <f t="shared" ref="BJ264:BJ270" si="140">BA264-AZ264</f>
        <v>0</v>
      </c>
      <c r="BK264" s="418"/>
      <c r="BL264" s="623"/>
      <c r="BM264" s="624">
        <f>SUM(BM265)</f>
        <v>11.494</v>
      </c>
      <c r="BN264" s="175"/>
      <c r="BO264" s="455"/>
      <c r="BP264" s="625"/>
      <c r="BQ264" s="626"/>
      <c r="BR264" s="627"/>
      <c r="BS264" s="628"/>
      <c r="BT264" s="625"/>
      <c r="BU264" s="626"/>
      <c r="BV264" s="627"/>
      <c r="BW264" s="628"/>
      <c r="BX264" s="629"/>
      <c r="BY264" s="630"/>
      <c r="BZ264" s="631">
        <f>SUM(BZ265)</f>
        <v>22.984000000000002</v>
      </c>
      <c r="CA264" s="632"/>
      <c r="CB264" s="633"/>
      <c r="CC264" s="93">
        <f>BZ264-E264</f>
        <v>22.984000000000002</v>
      </c>
      <c r="CD264" s="634"/>
      <c r="CE264" s="635"/>
      <c r="CF264" s="636">
        <f>SUM(CF265)</f>
        <v>137.91999999999999</v>
      </c>
      <c r="CG264" s="465"/>
      <c r="CH264" s="465"/>
      <c r="CI264" s="465"/>
      <c r="CJ264" s="465"/>
      <c r="CK264" s="465"/>
      <c r="CL264" s="465"/>
      <c r="CM264" s="466"/>
      <c r="CN264" s="466"/>
      <c r="CO264" s="466"/>
      <c r="CP264" s="466"/>
      <c r="CQ264" s="466"/>
      <c r="CR264" s="466"/>
      <c r="CS264" s="466"/>
      <c r="CT264" s="466"/>
      <c r="CU264" s="466"/>
      <c r="CV264" s="466"/>
      <c r="CW264" s="466"/>
      <c r="CX264" s="466"/>
      <c r="CY264" s="466"/>
      <c r="CZ264" s="466"/>
      <c r="DA264" s="167"/>
      <c r="DB264" s="167"/>
      <c r="DC264" s="173"/>
      <c r="DD264" s="173"/>
      <c r="DE264" s="173"/>
    </row>
    <row r="265" spans="1:110" hidden="1">
      <c r="A265" s="194"/>
      <c r="B265" s="195" t="s">
        <v>27</v>
      </c>
      <c r="C265" s="217" t="s">
        <v>54</v>
      </c>
      <c r="D265" s="78"/>
      <c r="E265" s="78"/>
      <c r="F265" s="78"/>
      <c r="G265" s="78"/>
      <c r="H265" s="242"/>
      <c r="I265" s="242"/>
      <c r="J265" s="242"/>
      <c r="K265" s="242"/>
      <c r="L265" s="242"/>
      <c r="M265" s="134">
        <v>11.49</v>
      </c>
      <c r="N265" s="134"/>
      <c r="O265" s="134"/>
      <c r="P265" s="134"/>
      <c r="Q265" s="134"/>
      <c r="R265" s="134"/>
      <c r="S265" s="134"/>
      <c r="T265" s="134"/>
      <c r="U265" s="134"/>
      <c r="V265" s="134"/>
      <c r="W265" s="134">
        <v>11.49</v>
      </c>
      <c r="X265" s="242"/>
      <c r="Y265" s="155"/>
      <c r="Z265" s="242"/>
      <c r="AA265" s="134">
        <v>11.494</v>
      </c>
      <c r="AB265" s="134"/>
      <c r="AC265" s="134"/>
      <c r="AD265" s="134"/>
      <c r="AE265" s="134"/>
      <c r="AF265" s="134"/>
      <c r="AG265" s="134"/>
      <c r="AH265" s="134"/>
      <c r="AI265" s="134"/>
      <c r="AJ265" s="242"/>
      <c r="AK265" s="156"/>
      <c r="AL265" s="242"/>
      <c r="AM265" s="134">
        <v>11.494</v>
      </c>
      <c r="AN265" s="134"/>
      <c r="AO265" s="134"/>
      <c r="AP265" s="134"/>
      <c r="AQ265" s="134"/>
      <c r="AR265" s="134"/>
      <c r="AS265" s="134"/>
      <c r="AT265" s="134"/>
      <c r="AU265" s="134"/>
      <c r="AV265" s="242"/>
      <c r="AW265" s="156"/>
      <c r="AX265" s="108"/>
      <c r="AY265" s="31"/>
      <c r="AZ265" s="109"/>
      <c r="BA265" s="62"/>
      <c r="BB265" s="62"/>
      <c r="BC265" s="62"/>
      <c r="BD265" s="62"/>
      <c r="BE265" s="110"/>
      <c r="BF265" s="109">
        <v>17.399999999999999</v>
      </c>
      <c r="BG265" s="62"/>
      <c r="BH265" s="62">
        <f>AY265-BF265</f>
        <v>-17.399999999999999</v>
      </c>
      <c r="BI265" s="110"/>
      <c r="BJ265" s="426">
        <f t="shared" si="140"/>
        <v>0</v>
      </c>
      <c r="BK265" s="427"/>
      <c r="BL265" s="560"/>
      <c r="BM265" s="149">
        <v>11.494</v>
      </c>
      <c r="BN265" s="62"/>
      <c r="BO265" s="470"/>
      <c r="BP265" s="485"/>
      <c r="BQ265" s="483"/>
      <c r="BR265" s="486"/>
      <c r="BS265" s="487"/>
      <c r="BT265" s="485"/>
      <c r="BU265" s="483"/>
      <c r="BV265" s="486"/>
      <c r="BW265" s="487"/>
      <c r="BX265" s="440"/>
      <c r="BY265" s="488"/>
      <c r="BZ265" s="489">
        <f>M265+BM265+BQ265+BU265</f>
        <v>22.984000000000002</v>
      </c>
      <c r="CA265" s="490"/>
      <c r="CB265" s="491"/>
      <c r="CC265" s="72">
        <f>BZ265-E265</f>
        <v>22.984000000000002</v>
      </c>
      <c r="CD265" s="562"/>
      <c r="CE265" s="561"/>
      <c r="CF265" s="492">
        <v>137.91999999999999</v>
      </c>
      <c r="CG265" s="74"/>
      <c r="CH265" s="74"/>
      <c r="CI265" s="74"/>
      <c r="CJ265" s="74"/>
      <c r="CK265" s="74"/>
      <c r="CL265" s="74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  <c r="CZ265" s="75"/>
      <c r="DA265" s="31"/>
      <c r="DB265" s="31"/>
      <c r="DC265" s="78"/>
      <c r="DD265" s="78"/>
      <c r="DE265" s="78"/>
    </row>
    <row r="266" spans="1:110" hidden="1">
      <c r="A266" s="194" t="s">
        <v>143</v>
      </c>
      <c r="B266" s="199" t="s">
        <v>2</v>
      </c>
      <c r="C266" s="217" t="s">
        <v>54</v>
      </c>
      <c r="D266" s="179"/>
      <c r="E266" s="179"/>
      <c r="F266" s="179"/>
      <c r="G266" s="179"/>
      <c r="H266" s="283"/>
      <c r="I266" s="283"/>
      <c r="J266" s="283"/>
      <c r="K266" s="283"/>
      <c r="L266" s="283"/>
      <c r="M266" s="180">
        <f>M267+M270</f>
        <v>163.94254999999998</v>
      </c>
      <c r="N266" s="180"/>
      <c r="O266" s="180"/>
      <c r="P266" s="180"/>
      <c r="Q266" s="180"/>
      <c r="R266" s="180"/>
      <c r="S266" s="180"/>
      <c r="T266" s="180"/>
      <c r="U266" s="180"/>
      <c r="V266" s="180"/>
      <c r="W266" s="180">
        <f>W267+W270</f>
        <v>163.94</v>
      </c>
      <c r="X266" s="283"/>
      <c r="Y266" s="284"/>
      <c r="Z266" s="283"/>
      <c r="AA266" s="180">
        <f>AA267+AA270</f>
        <v>167.40074999999999</v>
      </c>
      <c r="AB266" s="180"/>
      <c r="AC266" s="180"/>
      <c r="AD266" s="180"/>
      <c r="AE266" s="180"/>
      <c r="AF266" s="180"/>
      <c r="AG266" s="180"/>
      <c r="AH266" s="180"/>
      <c r="AI266" s="180">
        <f>AI267+AI270</f>
        <v>0</v>
      </c>
      <c r="AJ266" s="283"/>
      <c r="AK266" s="285"/>
      <c r="AL266" s="283"/>
      <c r="AM266" s="180">
        <f>AM267+AM270</f>
        <v>167.40074999999999</v>
      </c>
      <c r="AN266" s="180"/>
      <c r="AO266" s="180"/>
      <c r="AP266" s="180"/>
      <c r="AQ266" s="180"/>
      <c r="AR266" s="180"/>
      <c r="AS266" s="180"/>
      <c r="AT266" s="180"/>
      <c r="AU266" s="180">
        <f>AU267+AU270</f>
        <v>0</v>
      </c>
      <c r="AV266" s="283"/>
      <c r="AW266" s="285"/>
      <c r="AX266" s="108">
        <v>923.86</v>
      </c>
      <c r="AY266" s="179"/>
      <c r="AZ266" s="184"/>
      <c r="BA266" s="185"/>
      <c r="BB266" s="185"/>
      <c r="BC266" s="185"/>
      <c r="BD266" s="185"/>
      <c r="BE266" s="186"/>
      <c r="BF266" s="184">
        <f>BF267+BF270</f>
        <v>239.85414</v>
      </c>
      <c r="BG266" s="185"/>
      <c r="BH266" s="185">
        <f>BH267+BH270</f>
        <v>-239.85414</v>
      </c>
      <c r="BI266" s="186"/>
      <c r="BJ266" s="426">
        <f t="shared" si="140"/>
        <v>0</v>
      </c>
      <c r="BK266" s="427"/>
      <c r="BL266" s="637"/>
      <c r="BM266" s="204">
        <f>BM267+BM270</f>
        <v>167.40074999999999</v>
      </c>
      <c r="BN266" s="185"/>
      <c r="BO266" s="470"/>
      <c r="BP266" s="496"/>
      <c r="BQ266" s="495"/>
      <c r="BR266" s="497"/>
      <c r="BS266" s="498"/>
      <c r="BT266" s="496"/>
      <c r="BU266" s="495"/>
      <c r="BV266" s="497"/>
      <c r="BW266" s="498"/>
      <c r="BX266" s="499"/>
      <c r="BY266" s="500"/>
      <c r="BZ266" s="501">
        <f>SUM(BZ267:BZ270)</f>
        <v>331.34329999999994</v>
      </c>
      <c r="CA266" s="502"/>
      <c r="CB266" s="503"/>
      <c r="CC266" s="72">
        <f>BZ266-E266</f>
        <v>331.34329999999994</v>
      </c>
      <c r="CD266" s="638"/>
      <c r="CE266" s="639">
        <f>SUM(CE267:CE270)</f>
        <v>21.65</v>
      </c>
      <c r="CF266" s="505">
        <f>SUM(CF267:CF270)</f>
        <v>309.69329999999997</v>
      </c>
      <c r="CG266" s="465"/>
      <c r="CH266" s="465"/>
      <c r="CI266" s="465"/>
      <c r="CJ266" s="465"/>
      <c r="CK266" s="465"/>
      <c r="CL266" s="465"/>
      <c r="CM266" s="466"/>
      <c r="CN266" s="466"/>
      <c r="CO266" s="466"/>
      <c r="CP266" s="466"/>
      <c r="CQ266" s="466"/>
      <c r="CR266" s="466"/>
      <c r="CS266" s="466"/>
      <c r="CT266" s="466"/>
      <c r="CU266" s="466"/>
      <c r="CV266" s="466"/>
      <c r="CW266" s="466"/>
      <c r="CX266" s="466"/>
      <c r="CY266" s="466"/>
      <c r="CZ266" s="466"/>
      <c r="DA266" s="179"/>
      <c r="DB266" s="179"/>
      <c r="DC266" s="179"/>
      <c r="DD266" s="179"/>
      <c r="DE266" s="179"/>
    </row>
    <row r="267" spans="1:110" hidden="1">
      <c r="A267" s="194"/>
      <c r="B267" s="195" t="s">
        <v>3</v>
      </c>
      <c r="C267" s="217" t="s">
        <v>54</v>
      </c>
      <c r="D267" s="31"/>
      <c r="E267" s="31"/>
      <c r="F267" s="31"/>
      <c r="G267" s="31"/>
      <c r="H267" s="242"/>
      <c r="I267" s="242"/>
      <c r="J267" s="242"/>
      <c r="K267" s="242"/>
      <c r="L267" s="242"/>
      <c r="M267" s="134">
        <v>136.27811</v>
      </c>
      <c r="N267" s="134"/>
      <c r="O267" s="134"/>
      <c r="P267" s="134"/>
      <c r="Q267" s="134"/>
      <c r="R267" s="134"/>
      <c r="S267" s="134"/>
      <c r="T267" s="134"/>
      <c r="U267" s="134"/>
      <c r="V267" s="134"/>
      <c r="W267" s="134">
        <v>136.28</v>
      </c>
      <c r="X267" s="242"/>
      <c r="Y267" s="155"/>
      <c r="Z267" s="242"/>
      <c r="AA267" s="134">
        <v>139.15273999999999</v>
      </c>
      <c r="AB267" s="134"/>
      <c r="AC267" s="134"/>
      <c r="AD267" s="134"/>
      <c r="AE267" s="134"/>
      <c r="AF267" s="134"/>
      <c r="AG267" s="134"/>
      <c r="AH267" s="134"/>
      <c r="AI267" s="134"/>
      <c r="AJ267" s="242"/>
      <c r="AK267" s="156"/>
      <c r="AL267" s="242"/>
      <c r="AM267" s="134">
        <v>139.15273999999999</v>
      </c>
      <c r="AN267" s="134"/>
      <c r="AO267" s="134"/>
      <c r="AP267" s="134"/>
      <c r="AQ267" s="134"/>
      <c r="AR267" s="134"/>
      <c r="AS267" s="134"/>
      <c r="AT267" s="134"/>
      <c r="AU267" s="134"/>
      <c r="AV267" s="242"/>
      <c r="AW267" s="156"/>
      <c r="AX267" s="108"/>
      <c r="AY267" s="31"/>
      <c r="AZ267" s="109"/>
      <c r="BA267" s="62"/>
      <c r="BB267" s="62"/>
      <c r="BC267" s="62"/>
      <c r="BD267" s="62"/>
      <c r="BE267" s="110"/>
      <c r="BF267" s="109">
        <v>199.38</v>
      </c>
      <c r="BG267" s="62"/>
      <c r="BH267" s="62">
        <f>AY267-BF267</f>
        <v>-199.38</v>
      </c>
      <c r="BI267" s="110"/>
      <c r="BJ267" s="426">
        <f t="shared" si="140"/>
        <v>0</v>
      </c>
      <c r="BK267" s="427"/>
      <c r="BL267" s="560"/>
      <c r="BM267" s="149">
        <v>139.15273999999999</v>
      </c>
      <c r="BN267" s="62"/>
      <c r="BO267" s="470"/>
      <c r="BP267" s="485"/>
      <c r="BQ267" s="483"/>
      <c r="BR267" s="486"/>
      <c r="BS267" s="487"/>
      <c r="BT267" s="485"/>
      <c r="BU267" s="483"/>
      <c r="BV267" s="486"/>
      <c r="BW267" s="487"/>
      <c r="BX267" s="440"/>
      <c r="BY267" s="488"/>
      <c r="BZ267" s="489">
        <f>M267+BM267+BQ267+BU267</f>
        <v>275.43084999999996</v>
      </c>
      <c r="CA267" s="490"/>
      <c r="CB267" s="491"/>
      <c r="CC267" s="72">
        <f>BZ267-E267</f>
        <v>275.43084999999996</v>
      </c>
      <c r="CD267" s="434"/>
      <c r="CE267" s="561">
        <v>18</v>
      </c>
      <c r="CF267" s="492">
        <f>BZ267-CE267</f>
        <v>257.43084999999996</v>
      </c>
      <c r="CG267" s="74"/>
      <c r="CH267" s="74"/>
      <c r="CI267" s="74"/>
      <c r="CJ267" s="74"/>
      <c r="CK267" s="74"/>
      <c r="CL267" s="74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31"/>
      <c r="DB267" s="31"/>
      <c r="DC267" s="31"/>
      <c r="DD267" s="31"/>
      <c r="DE267" s="31"/>
    </row>
    <row r="268" spans="1:110" hidden="1">
      <c r="A268" s="194"/>
      <c r="B268" s="190" t="s">
        <v>38</v>
      </c>
      <c r="C268" s="217" t="s">
        <v>82</v>
      </c>
      <c r="D268" s="31"/>
      <c r="E268" s="31"/>
      <c r="F268" s="31"/>
      <c r="G268" s="31"/>
      <c r="H268" s="242"/>
      <c r="I268" s="242"/>
      <c r="J268" s="242"/>
      <c r="K268" s="242"/>
      <c r="L268" s="242"/>
      <c r="M268" s="134">
        <v>4</v>
      </c>
      <c r="N268" s="134"/>
      <c r="O268" s="134"/>
      <c r="P268" s="134"/>
      <c r="Q268" s="134"/>
      <c r="R268" s="134"/>
      <c r="S268" s="134"/>
      <c r="T268" s="134"/>
      <c r="U268" s="134"/>
      <c r="V268" s="134"/>
      <c r="W268" s="134">
        <v>4</v>
      </c>
      <c r="X268" s="242"/>
      <c r="Y268" s="155"/>
      <c r="Z268" s="242"/>
      <c r="AA268" s="134">
        <v>5.5</v>
      </c>
      <c r="AB268" s="134"/>
      <c r="AC268" s="134"/>
      <c r="AD268" s="134"/>
      <c r="AE268" s="134"/>
      <c r="AF268" s="134"/>
      <c r="AG268" s="134"/>
      <c r="AH268" s="134"/>
      <c r="AI268" s="134"/>
      <c r="AJ268" s="242"/>
      <c r="AK268" s="156"/>
      <c r="AL268" s="242"/>
      <c r="AM268" s="134">
        <v>5.5</v>
      </c>
      <c r="AN268" s="134"/>
      <c r="AO268" s="134"/>
      <c r="AP268" s="134"/>
      <c r="AQ268" s="134"/>
      <c r="AR268" s="134"/>
      <c r="AS268" s="134"/>
      <c r="AT268" s="134"/>
      <c r="AU268" s="134"/>
      <c r="AV268" s="242"/>
      <c r="AW268" s="156"/>
      <c r="AX268" s="108"/>
      <c r="AY268" s="31"/>
      <c r="AZ268" s="109"/>
      <c r="BA268" s="62"/>
      <c r="BB268" s="62"/>
      <c r="BC268" s="62"/>
      <c r="BD268" s="62"/>
      <c r="BE268" s="110"/>
      <c r="BF268" s="109"/>
      <c r="BG268" s="62"/>
      <c r="BH268" s="62"/>
      <c r="BI268" s="110"/>
      <c r="BJ268" s="426">
        <f t="shared" si="140"/>
        <v>0</v>
      </c>
      <c r="BK268" s="427"/>
      <c r="BL268" s="560"/>
      <c r="BM268" s="149">
        <v>5.5</v>
      </c>
      <c r="BN268" s="62"/>
      <c r="BO268" s="470"/>
      <c r="BP268" s="485"/>
      <c r="BQ268" s="483"/>
      <c r="BR268" s="486"/>
      <c r="BS268" s="487"/>
      <c r="BT268" s="485"/>
      <c r="BU268" s="483"/>
      <c r="BV268" s="486"/>
      <c r="BW268" s="487"/>
      <c r="BX268" s="440"/>
      <c r="BY268" s="488"/>
      <c r="BZ268" s="489"/>
      <c r="CA268" s="490"/>
      <c r="CB268" s="491"/>
      <c r="CC268" s="72"/>
      <c r="CD268" s="434"/>
      <c r="CE268" s="561"/>
      <c r="CF268" s="492"/>
      <c r="CG268" s="74"/>
      <c r="CH268" s="74"/>
      <c r="CI268" s="74"/>
      <c r="CJ268" s="74"/>
      <c r="CK268" s="74"/>
      <c r="CL268" s="74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31"/>
      <c r="DB268" s="31"/>
      <c r="DC268" s="31"/>
      <c r="DD268" s="31"/>
      <c r="DE268" s="31"/>
    </row>
    <row r="269" spans="1:110" hidden="1">
      <c r="A269" s="194"/>
      <c r="B269" s="190" t="s">
        <v>39</v>
      </c>
      <c r="C269" s="217" t="s">
        <v>83</v>
      </c>
      <c r="D269" s="31"/>
      <c r="E269" s="31"/>
      <c r="F269" s="31"/>
      <c r="G269" s="31"/>
      <c r="H269" s="242"/>
      <c r="I269" s="242"/>
      <c r="J269" s="242"/>
      <c r="K269" s="242"/>
      <c r="L269" s="242"/>
      <c r="M269" s="134">
        <f>M267/M268*1000</f>
        <v>34069.527499999997</v>
      </c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242"/>
      <c r="Y269" s="155"/>
      <c r="Z269" s="242"/>
      <c r="AA269" s="134">
        <f>AA267/AA268*1000</f>
        <v>25300.49818181818</v>
      </c>
      <c r="AB269" s="134"/>
      <c r="AC269" s="134"/>
      <c r="AD269" s="134"/>
      <c r="AE269" s="134"/>
      <c r="AF269" s="134"/>
      <c r="AG269" s="134"/>
      <c r="AH269" s="134"/>
      <c r="AI269" s="134"/>
      <c r="AJ269" s="242"/>
      <c r="AK269" s="156"/>
      <c r="AL269" s="242"/>
      <c r="AM269" s="134">
        <f>AM267/AM268*1000</f>
        <v>25300.49818181818</v>
      </c>
      <c r="AN269" s="134"/>
      <c r="AO269" s="134"/>
      <c r="AP269" s="134"/>
      <c r="AQ269" s="134"/>
      <c r="AR269" s="134"/>
      <c r="AS269" s="134"/>
      <c r="AT269" s="134"/>
      <c r="AU269" s="134"/>
      <c r="AV269" s="242"/>
      <c r="AW269" s="156"/>
      <c r="AX269" s="108"/>
      <c r="AY269" s="31"/>
      <c r="AZ269" s="109"/>
      <c r="BA269" s="62"/>
      <c r="BB269" s="62"/>
      <c r="BC269" s="62"/>
      <c r="BD269" s="62"/>
      <c r="BE269" s="110"/>
      <c r="BF269" s="109"/>
      <c r="BG269" s="62"/>
      <c r="BH269" s="62"/>
      <c r="BI269" s="110"/>
      <c r="BJ269" s="426">
        <f t="shared" si="140"/>
        <v>0</v>
      </c>
      <c r="BK269" s="427"/>
      <c r="BL269" s="560"/>
      <c r="BM269" s="149">
        <f>BM267/BM268*1000</f>
        <v>25300.49818181818</v>
      </c>
      <c r="BN269" s="62"/>
      <c r="BO269" s="470"/>
      <c r="BP269" s="485"/>
      <c r="BQ269" s="483"/>
      <c r="BR269" s="486"/>
      <c r="BS269" s="487"/>
      <c r="BT269" s="485"/>
      <c r="BU269" s="483"/>
      <c r="BV269" s="486"/>
      <c r="BW269" s="487"/>
      <c r="BX269" s="440"/>
      <c r="BY269" s="488"/>
      <c r="BZ269" s="489"/>
      <c r="CA269" s="490"/>
      <c r="CB269" s="491"/>
      <c r="CC269" s="72"/>
      <c r="CD269" s="434"/>
      <c r="CE269" s="561"/>
      <c r="CF269" s="492"/>
      <c r="CG269" s="74"/>
      <c r="CH269" s="74"/>
      <c r="CI269" s="74"/>
      <c r="CJ269" s="74"/>
      <c r="CK269" s="74"/>
      <c r="CL269" s="74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31"/>
      <c r="DB269" s="31"/>
      <c r="DC269" s="31"/>
      <c r="DD269" s="31"/>
      <c r="DE269" s="31"/>
    </row>
    <row r="270" spans="1:110" hidden="1">
      <c r="A270" s="194"/>
      <c r="B270" s="187" t="s">
        <v>92</v>
      </c>
      <c r="C270" s="217" t="s">
        <v>54</v>
      </c>
      <c r="D270" s="31"/>
      <c r="E270" s="31"/>
      <c r="F270" s="31"/>
      <c r="G270" s="31"/>
      <c r="H270" s="242"/>
      <c r="I270" s="242"/>
      <c r="J270" s="242"/>
      <c r="K270" s="242"/>
      <c r="L270" s="242"/>
      <c r="M270" s="134">
        <v>27.664439999999999</v>
      </c>
      <c r="N270" s="134"/>
      <c r="O270" s="134"/>
      <c r="P270" s="134"/>
      <c r="Q270" s="134"/>
      <c r="R270" s="134"/>
      <c r="S270" s="134"/>
      <c r="T270" s="134"/>
      <c r="U270" s="134"/>
      <c r="V270" s="134"/>
      <c r="W270" s="134">
        <v>27.66</v>
      </c>
      <c r="X270" s="242"/>
      <c r="Y270" s="155"/>
      <c r="Z270" s="242"/>
      <c r="AA270" s="134">
        <v>28.248010000000001</v>
      </c>
      <c r="AB270" s="134"/>
      <c r="AC270" s="134"/>
      <c r="AD270" s="134"/>
      <c r="AE270" s="134"/>
      <c r="AF270" s="134"/>
      <c r="AG270" s="134"/>
      <c r="AH270" s="134"/>
      <c r="AI270" s="134"/>
      <c r="AJ270" s="242"/>
      <c r="AK270" s="156"/>
      <c r="AL270" s="242"/>
      <c r="AM270" s="134">
        <v>28.248010000000001</v>
      </c>
      <c r="AN270" s="134"/>
      <c r="AO270" s="134"/>
      <c r="AP270" s="134"/>
      <c r="AQ270" s="134"/>
      <c r="AR270" s="134"/>
      <c r="AS270" s="134"/>
      <c r="AT270" s="134"/>
      <c r="AU270" s="134"/>
      <c r="AV270" s="242"/>
      <c r="AW270" s="156"/>
      <c r="AX270" s="108"/>
      <c r="AY270" s="31"/>
      <c r="AZ270" s="109"/>
      <c r="BA270" s="62"/>
      <c r="BB270" s="62"/>
      <c r="BC270" s="62"/>
      <c r="BD270" s="62"/>
      <c r="BE270" s="110"/>
      <c r="BF270" s="109">
        <f>BF267*20.3/100</f>
        <v>40.474140000000006</v>
      </c>
      <c r="BG270" s="62"/>
      <c r="BH270" s="62">
        <f>AY270-BF270</f>
        <v>-40.474140000000006</v>
      </c>
      <c r="BI270" s="110"/>
      <c r="BJ270" s="426">
        <f t="shared" si="140"/>
        <v>0</v>
      </c>
      <c r="BK270" s="427"/>
      <c r="BL270" s="560"/>
      <c r="BM270" s="149">
        <v>28.248010000000001</v>
      </c>
      <c r="BN270" s="62"/>
      <c r="BO270" s="470"/>
      <c r="BP270" s="485"/>
      <c r="BQ270" s="483"/>
      <c r="BR270" s="486"/>
      <c r="BS270" s="487"/>
      <c r="BT270" s="485"/>
      <c r="BU270" s="483"/>
      <c r="BV270" s="486"/>
      <c r="BW270" s="487"/>
      <c r="BX270" s="440"/>
      <c r="BY270" s="488"/>
      <c r="BZ270" s="489">
        <f>M270+BM270+BQ270+BU270</f>
        <v>55.91245</v>
      </c>
      <c r="CA270" s="490"/>
      <c r="CB270" s="491"/>
      <c r="CC270" s="72">
        <f t="shared" ref="CC270:CC296" si="141">BZ270-E270</f>
        <v>55.91245</v>
      </c>
      <c r="CD270" s="434"/>
      <c r="CE270" s="561">
        <v>3.65</v>
      </c>
      <c r="CF270" s="492">
        <f>BZ270-CE270</f>
        <v>52.262450000000001</v>
      </c>
      <c r="CG270" s="74"/>
      <c r="CH270" s="74"/>
      <c r="CI270" s="74"/>
      <c r="CJ270" s="74"/>
      <c r="CK270" s="74"/>
      <c r="CL270" s="74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  <c r="CZ270" s="75"/>
      <c r="DA270" s="31"/>
      <c r="DB270" s="31"/>
      <c r="DC270" s="31"/>
      <c r="DD270" s="31"/>
      <c r="DE270" s="31"/>
    </row>
    <row r="271" spans="1:110" hidden="1">
      <c r="A271" s="194" t="s">
        <v>144</v>
      </c>
      <c r="B271" s="199" t="s">
        <v>96</v>
      </c>
      <c r="C271" s="217" t="s">
        <v>54</v>
      </c>
      <c r="D271" s="179"/>
      <c r="E271" s="179"/>
      <c r="F271" s="179"/>
      <c r="G271" s="179"/>
      <c r="H271" s="242"/>
      <c r="I271" s="242"/>
      <c r="J271" s="242"/>
      <c r="K271" s="242"/>
      <c r="L271" s="242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242"/>
      <c r="Y271" s="155"/>
      <c r="Z271" s="242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242"/>
      <c r="AK271" s="156"/>
      <c r="AL271" s="242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242"/>
      <c r="AW271" s="156"/>
      <c r="AX271" s="108">
        <v>18.32</v>
      </c>
      <c r="AY271" s="179"/>
      <c r="AZ271" s="109"/>
      <c r="BA271" s="62"/>
      <c r="BB271" s="62"/>
      <c r="BC271" s="62"/>
      <c r="BD271" s="62"/>
      <c r="BE271" s="110"/>
      <c r="BF271" s="109"/>
      <c r="BG271" s="62"/>
      <c r="BH271" s="185">
        <f>SUM(BH272:BH273)</f>
        <v>0</v>
      </c>
      <c r="BI271" s="110"/>
      <c r="BJ271" s="426"/>
      <c r="BK271" s="427"/>
      <c r="BL271" s="560"/>
      <c r="BM271" s="149"/>
      <c r="BN271" s="62"/>
      <c r="BO271" s="470"/>
      <c r="BP271" s="485"/>
      <c r="BQ271" s="483"/>
      <c r="BR271" s="486"/>
      <c r="BS271" s="487"/>
      <c r="BT271" s="485"/>
      <c r="BU271" s="483"/>
      <c r="BV271" s="486"/>
      <c r="BW271" s="487"/>
      <c r="BX271" s="440"/>
      <c r="BY271" s="488"/>
      <c r="BZ271" s="489"/>
      <c r="CA271" s="490"/>
      <c r="CB271" s="491"/>
      <c r="CC271" s="72"/>
      <c r="CD271" s="434"/>
      <c r="CE271" s="561"/>
      <c r="CF271" s="492"/>
      <c r="CG271" s="74"/>
      <c r="CH271" s="74"/>
      <c r="CI271" s="74"/>
      <c r="CJ271" s="74"/>
      <c r="CK271" s="74"/>
      <c r="CL271" s="74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179"/>
      <c r="DB271" s="179"/>
      <c r="DC271" s="179"/>
      <c r="DD271" s="179"/>
      <c r="DE271" s="179"/>
    </row>
    <row r="272" spans="1:110" hidden="1">
      <c r="A272" s="194"/>
      <c r="B272" s="195" t="s">
        <v>121</v>
      </c>
      <c r="C272" s="217" t="s">
        <v>54</v>
      </c>
      <c r="D272" s="31"/>
      <c r="E272" s="31"/>
      <c r="F272" s="31"/>
      <c r="G272" s="31"/>
      <c r="H272" s="242"/>
      <c r="I272" s="242"/>
      <c r="J272" s="242"/>
      <c r="K272" s="242"/>
      <c r="L272" s="242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242"/>
      <c r="Y272" s="155"/>
      <c r="Z272" s="242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242"/>
      <c r="AK272" s="156"/>
      <c r="AL272" s="242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242"/>
      <c r="AW272" s="156"/>
      <c r="AX272" s="108"/>
      <c r="AY272" s="31"/>
      <c r="AZ272" s="109"/>
      <c r="BA272" s="62"/>
      <c r="BB272" s="62"/>
      <c r="BC272" s="62"/>
      <c r="BD272" s="62"/>
      <c r="BE272" s="110"/>
      <c r="BF272" s="109"/>
      <c r="BG272" s="62"/>
      <c r="BH272" s="62">
        <f>AY272</f>
        <v>0</v>
      </c>
      <c r="BI272" s="110"/>
      <c r="BJ272" s="426"/>
      <c r="BK272" s="427"/>
      <c r="BL272" s="560"/>
      <c r="BM272" s="149"/>
      <c r="BN272" s="62"/>
      <c r="BO272" s="470"/>
      <c r="BP272" s="485"/>
      <c r="BQ272" s="483"/>
      <c r="BR272" s="486"/>
      <c r="BS272" s="487"/>
      <c r="BT272" s="485"/>
      <c r="BU272" s="483"/>
      <c r="BV272" s="486"/>
      <c r="BW272" s="487"/>
      <c r="BX272" s="440"/>
      <c r="BY272" s="488"/>
      <c r="BZ272" s="489"/>
      <c r="CA272" s="490"/>
      <c r="CB272" s="491"/>
      <c r="CC272" s="72"/>
      <c r="CD272" s="434"/>
      <c r="CE272" s="561"/>
      <c r="CF272" s="492"/>
      <c r="CG272" s="74"/>
      <c r="CH272" s="74"/>
      <c r="CI272" s="74"/>
      <c r="CJ272" s="74"/>
      <c r="CK272" s="74"/>
      <c r="CL272" s="74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31"/>
      <c r="DB272" s="31"/>
      <c r="DC272" s="31"/>
      <c r="DD272" s="31"/>
      <c r="DE272" s="31"/>
    </row>
    <row r="273" spans="1:109" hidden="1">
      <c r="A273" s="194"/>
      <c r="B273" s="195" t="s">
        <v>122</v>
      </c>
      <c r="C273" s="217" t="s">
        <v>54</v>
      </c>
      <c r="D273" s="31"/>
      <c r="E273" s="31"/>
      <c r="F273" s="31"/>
      <c r="G273" s="31"/>
      <c r="H273" s="242"/>
      <c r="I273" s="242"/>
      <c r="J273" s="242"/>
      <c r="K273" s="242"/>
      <c r="L273" s="242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242"/>
      <c r="Y273" s="155"/>
      <c r="Z273" s="242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242"/>
      <c r="AK273" s="156"/>
      <c r="AL273" s="242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242"/>
      <c r="AW273" s="156"/>
      <c r="AX273" s="108"/>
      <c r="AY273" s="31"/>
      <c r="AZ273" s="109"/>
      <c r="BA273" s="62"/>
      <c r="BB273" s="62"/>
      <c r="BC273" s="62"/>
      <c r="BD273" s="62"/>
      <c r="BE273" s="110"/>
      <c r="BF273" s="109"/>
      <c r="BG273" s="62"/>
      <c r="BH273" s="62"/>
      <c r="BI273" s="110"/>
      <c r="BJ273" s="426"/>
      <c r="BK273" s="427"/>
      <c r="BL273" s="560"/>
      <c r="BM273" s="149"/>
      <c r="BN273" s="62"/>
      <c r="BO273" s="470"/>
      <c r="BP273" s="485"/>
      <c r="BQ273" s="483"/>
      <c r="BR273" s="486"/>
      <c r="BS273" s="487"/>
      <c r="BT273" s="485"/>
      <c r="BU273" s="483"/>
      <c r="BV273" s="486"/>
      <c r="BW273" s="487"/>
      <c r="BX273" s="440"/>
      <c r="BY273" s="488"/>
      <c r="BZ273" s="489"/>
      <c r="CA273" s="490"/>
      <c r="CB273" s="491"/>
      <c r="CC273" s="72"/>
      <c r="CD273" s="434"/>
      <c r="CE273" s="561"/>
      <c r="CF273" s="492"/>
      <c r="CG273" s="74"/>
      <c r="CH273" s="74"/>
      <c r="CI273" s="74"/>
      <c r="CJ273" s="74"/>
      <c r="CK273" s="74"/>
      <c r="CL273" s="74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31"/>
      <c r="DB273" s="31"/>
      <c r="DC273" s="31"/>
      <c r="DD273" s="31"/>
      <c r="DE273" s="31"/>
    </row>
    <row r="274" spans="1:109" hidden="1">
      <c r="A274" s="194" t="s">
        <v>145</v>
      </c>
      <c r="B274" s="199" t="s">
        <v>6</v>
      </c>
      <c r="C274" s="217" t="s">
        <v>54</v>
      </c>
      <c r="D274" s="179"/>
      <c r="E274" s="179"/>
      <c r="F274" s="179"/>
      <c r="G274" s="179"/>
      <c r="H274" s="283"/>
      <c r="I274" s="283"/>
      <c r="J274" s="283"/>
      <c r="K274" s="283"/>
      <c r="L274" s="283"/>
      <c r="M274" s="180">
        <f>SUM(M275:M288)</f>
        <v>4</v>
      </c>
      <c r="N274" s="180"/>
      <c r="O274" s="180"/>
      <c r="P274" s="180"/>
      <c r="Q274" s="180"/>
      <c r="R274" s="180"/>
      <c r="S274" s="180"/>
      <c r="T274" s="180"/>
      <c r="U274" s="180"/>
      <c r="V274" s="180"/>
      <c r="W274" s="180">
        <f>SUM(W275:W288)</f>
        <v>4</v>
      </c>
      <c r="X274" s="283"/>
      <c r="Y274" s="284"/>
      <c r="Z274" s="283"/>
      <c r="AA274" s="180">
        <f>SUM(AA275:AA288)</f>
        <v>20.100749999999998</v>
      </c>
      <c r="AB274" s="180"/>
      <c r="AC274" s="180"/>
      <c r="AD274" s="180"/>
      <c r="AE274" s="180"/>
      <c r="AF274" s="180"/>
      <c r="AG274" s="180"/>
      <c r="AH274" s="180"/>
      <c r="AI274" s="180">
        <f>SUM(AI275:AI288)</f>
        <v>0</v>
      </c>
      <c r="AJ274" s="283"/>
      <c r="AK274" s="285"/>
      <c r="AL274" s="283"/>
      <c r="AM274" s="180">
        <f>SUM(AM275:AM288)</f>
        <v>20.100749999999998</v>
      </c>
      <c r="AN274" s="180"/>
      <c r="AO274" s="180"/>
      <c r="AP274" s="180"/>
      <c r="AQ274" s="180"/>
      <c r="AR274" s="180"/>
      <c r="AS274" s="180"/>
      <c r="AT274" s="180"/>
      <c r="AU274" s="180">
        <f>SUM(AU275:AU288)</f>
        <v>0</v>
      </c>
      <c r="AV274" s="283"/>
      <c r="AW274" s="285"/>
      <c r="AX274" s="108">
        <v>67.930000000000007</v>
      </c>
      <c r="AY274" s="179"/>
      <c r="AZ274" s="184"/>
      <c r="BA274" s="185"/>
      <c r="BB274" s="185"/>
      <c r="BC274" s="185"/>
      <c r="BD274" s="185"/>
      <c r="BE274" s="186"/>
      <c r="BF274" s="184">
        <f>SUM(BF275:BF288)</f>
        <v>0</v>
      </c>
      <c r="BG274" s="185"/>
      <c r="BH274" s="185">
        <f>SUM(BH275:BH288)</f>
        <v>9.9600000000000009</v>
      </c>
      <c r="BI274" s="186"/>
      <c r="BJ274" s="426">
        <f>BA274-AZ274</f>
        <v>0</v>
      </c>
      <c r="BK274" s="427"/>
      <c r="BL274" s="637"/>
      <c r="BM274" s="204">
        <f>SUM(BM275:BM288)</f>
        <v>20.100749999999998</v>
      </c>
      <c r="BN274" s="185"/>
      <c r="BO274" s="470"/>
      <c r="BP274" s="496"/>
      <c r="BQ274" s="495"/>
      <c r="BR274" s="497"/>
      <c r="BS274" s="498"/>
      <c r="BT274" s="496"/>
      <c r="BU274" s="495"/>
      <c r="BV274" s="497"/>
      <c r="BW274" s="498"/>
      <c r="BX274" s="499"/>
      <c r="BY274" s="500"/>
      <c r="BZ274" s="501">
        <f>SUM(BZ275:BZ288)</f>
        <v>24.100749999999998</v>
      </c>
      <c r="CA274" s="502"/>
      <c r="CB274" s="503"/>
      <c r="CC274" s="72">
        <f t="shared" si="141"/>
        <v>24.100749999999998</v>
      </c>
      <c r="CD274" s="638"/>
      <c r="CE274" s="639"/>
      <c r="CF274" s="505">
        <f>SUM(CF275:CF288)</f>
        <v>104.08</v>
      </c>
      <c r="CG274" s="465"/>
      <c r="CH274" s="465"/>
      <c r="CI274" s="465"/>
      <c r="CJ274" s="465"/>
      <c r="CK274" s="465"/>
      <c r="CL274" s="465"/>
      <c r="CM274" s="466"/>
      <c r="CN274" s="466"/>
      <c r="CO274" s="466"/>
      <c r="CP274" s="466"/>
      <c r="CQ274" s="466"/>
      <c r="CR274" s="466"/>
      <c r="CS274" s="466"/>
      <c r="CT274" s="466"/>
      <c r="CU274" s="466"/>
      <c r="CV274" s="466"/>
      <c r="CW274" s="466"/>
      <c r="CX274" s="466"/>
      <c r="CY274" s="466"/>
      <c r="CZ274" s="466"/>
      <c r="DA274" s="179"/>
      <c r="DB274" s="179"/>
      <c r="DC274" s="179"/>
      <c r="DD274" s="179"/>
      <c r="DE274" s="179"/>
    </row>
    <row r="275" spans="1:109" hidden="1">
      <c r="A275" s="194"/>
      <c r="B275" s="195" t="s">
        <v>7</v>
      </c>
      <c r="C275" s="217" t="s">
        <v>54</v>
      </c>
      <c r="D275" s="31"/>
      <c r="E275" s="31"/>
      <c r="F275" s="31"/>
      <c r="G275" s="31"/>
      <c r="H275" s="242"/>
      <c r="I275" s="242"/>
      <c r="J275" s="242"/>
      <c r="K275" s="242"/>
      <c r="L275" s="242"/>
      <c r="M275" s="134">
        <v>0.23</v>
      </c>
      <c r="N275" s="134"/>
      <c r="O275" s="134"/>
      <c r="P275" s="134"/>
      <c r="Q275" s="134"/>
      <c r="R275" s="134"/>
      <c r="S275" s="134"/>
      <c r="T275" s="134"/>
      <c r="U275" s="134"/>
      <c r="V275" s="134"/>
      <c r="W275" s="134">
        <v>0.23</v>
      </c>
      <c r="X275" s="242"/>
      <c r="Y275" s="155"/>
      <c r="Z275" s="242"/>
      <c r="AA275" s="134">
        <v>0.23674999999999999</v>
      </c>
      <c r="AB275" s="134"/>
      <c r="AC275" s="134"/>
      <c r="AD275" s="134"/>
      <c r="AE275" s="134"/>
      <c r="AF275" s="134"/>
      <c r="AG275" s="134"/>
      <c r="AH275" s="134"/>
      <c r="AI275" s="134"/>
      <c r="AJ275" s="242"/>
      <c r="AK275" s="156"/>
      <c r="AL275" s="242"/>
      <c r="AM275" s="134">
        <v>0.23674999999999999</v>
      </c>
      <c r="AN275" s="134"/>
      <c r="AO275" s="134"/>
      <c r="AP275" s="134"/>
      <c r="AQ275" s="134"/>
      <c r="AR275" s="134"/>
      <c r="AS275" s="134"/>
      <c r="AT275" s="134"/>
      <c r="AU275" s="134"/>
      <c r="AV275" s="242"/>
      <c r="AW275" s="156"/>
      <c r="AX275" s="108"/>
      <c r="AY275" s="31"/>
      <c r="AZ275" s="109"/>
      <c r="BA275" s="62"/>
      <c r="BB275" s="62"/>
      <c r="BC275" s="62"/>
      <c r="BD275" s="62"/>
      <c r="BE275" s="110"/>
      <c r="BF275" s="109"/>
      <c r="BG275" s="62"/>
      <c r="BH275" s="62">
        <f>AY275</f>
        <v>0</v>
      </c>
      <c r="BI275" s="110"/>
      <c r="BJ275" s="426">
        <f>BA275-AZ275</f>
        <v>0</v>
      </c>
      <c r="BK275" s="427"/>
      <c r="BL275" s="560"/>
      <c r="BM275" s="149">
        <v>0.23674999999999999</v>
      </c>
      <c r="BN275" s="62"/>
      <c r="BO275" s="470"/>
      <c r="BP275" s="485"/>
      <c r="BQ275" s="483"/>
      <c r="BR275" s="486"/>
      <c r="BS275" s="487"/>
      <c r="BT275" s="485"/>
      <c r="BU275" s="483"/>
      <c r="BV275" s="486"/>
      <c r="BW275" s="487"/>
      <c r="BX275" s="440"/>
      <c r="BY275" s="488"/>
      <c r="BZ275" s="489">
        <f t="shared" ref="BZ275:BZ288" si="142">M275+BM275+BQ275+BU275</f>
        <v>0.46675</v>
      </c>
      <c r="CA275" s="490"/>
      <c r="CB275" s="491"/>
      <c r="CC275" s="72">
        <f t="shared" si="141"/>
        <v>0.46675</v>
      </c>
      <c r="CD275" s="562"/>
      <c r="CE275" s="561"/>
      <c r="CF275" s="492">
        <v>2.96</v>
      </c>
      <c r="CG275" s="74"/>
      <c r="CH275" s="74"/>
      <c r="CI275" s="74"/>
      <c r="CJ275" s="74"/>
      <c r="CK275" s="74"/>
      <c r="CL275" s="74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31"/>
      <c r="DB275" s="31"/>
      <c r="DC275" s="31"/>
      <c r="DD275" s="31"/>
      <c r="DE275" s="31"/>
    </row>
    <row r="276" spans="1:109" hidden="1">
      <c r="A276" s="194"/>
      <c r="B276" s="195" t="s">
        <v>196</v>
      </c>
      <c r="C276" s="217"/>
      <c r="D276" s="31"/>
      <c r="E276" s="31"/>
      <c r="F276" s="31"/>
      <c r="G276" s="31"/>
      <c r="H276" s="242"/>
      <c r="I276" s="242"/>
      <c r="J276" s="242"/>
      <c r="K276" s="242"/>
      <c r="L276" s="242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242"/>
      <c r="Y276" s="155"/>
      <c r="Z276" s="242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242"/>
      <c r="AK276" s="156"/>
      <c r="AL276" s="242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242"/>
      <c r="AW276" s="156"/>
      <c r="AX276" s="108"/>
      <c r="AY276" s="31"/>
      <c r="AZ276" s="109"/>
      <c r="BA276" s="62"/>
      <c r="BB276" s="62"/>
      <c r="BC276" s="62"/>
      <c r="BD276" s="62"/>
      <c r="BE276" s="110"/>
      <c r="BF276" s="109"/>
      <c r="BG276" s="62"/>
      <c r="BH276" s="62">
        <f>AY276</f>
        <v>0</v>
      </c>
      <c r="BI276" s="110"/>
      <c r="BJ276" s="426"/>
      <c r="BK276" s="427"/>
      <c r="BL276" s="560"/>
      <c r="BM276" s="149"/>
      <c r="BN276" s="62"/>
      <c r="BO276" s="470"/>
      <c r="BP276" s="485"/>
      <c r="BQ276" s="483"/>
      <c r="BR276" s="486"/>
      <c r="BS276" s="487"/>
      <c r="BT276" s="485"/>
      <c r="BU276" s="483"/>
      <c r="BV276" s="486"/>
      <c r="BW276" s="487"/>
      <c r="BX276" s="440"/>
      <c r="BY276" s="488"/>
      <c r="BZ276" s="489"/>
      <c r="CA276" s="490"/>
      <c r="CB276" s="491"/>
      <c r="CC276" s="72"/>
      <c r="CD276" s="562"/>
      <c r="CE276" s="561"/>
      <c r="CF276" s="492"/>
      <c r="CG276" s="74"/>
      <c r="CH276" s="74"/>
      <c r="CI276" s="74"/>
      <c r="CJ276" s="74"/>
      <c r="CK276" s="74"/>
      <c r="CL276" s="74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31"/>
      <c r="DB276" s="31"/>
      <c r="DC276" s="31"/>
      <c r="DD276" s="31"/>
      <c r="DE276" s="31"/>
    </row>
    <row r="277" spans="1:109" hidden="1">
      <c r="A277" s="194"/>
      <c r="B277" s="195" t="s">
        <v>215</v>
      </c>
      <c r="C277" s="217"/>
      <c r="D277" s="31"/>
      <c r="E277" s="31"/>
      <c r="F277" s="31"/>
      <c r="G277" s="31"/>
      <c r="H277" s="242"/>
      <c r="I277" s="242"/>
      <c r="J277" s="242"/>
      <c r="K277" s="242"/>
      <c r="L277" s="242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242"/>
      <c r="Y277" s="155"/>
      <c r="Z277" s="242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242"/>
      <c r="AK277" s="156"/>
      <c r="AL277" s="242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242"/>
      <c r="AW277" s="156"/>
      <c r="AX277" s="108"/>
      <c r="AY277" s="31"/>
      <c r="AZ277" s="109"/>
      <c r="BA277" s="62"/>
      <c r="BB277" s="62"/>
      <c r="BC277" s="62"/>
      <c r="BD277" s="62"/>
      <c r="BE277" s="110"/>
      <c r="BF277" s="109"/>
      <c r="BG277" s="62"/>
      <c r="BH277" s="62">
        <v>2.96</v>
      </c>
      <c r="BI277" s="110"/>
      <c r="BJ277" s="426"/>
      <c r="BK277" s="427"/>
      <c r="BL277" s="560"/>
      <c r="BM277" s="149"/>
      <c r="BN277" s="62"/>
      <c r="BO277" s="470"/>
      <c r="BP277" s="485"/>
      <c r="BQ277" s="483"/>
      <c r="BR277" s="486"/>
      <c r="BS277" s="487"/>
      <c r="BT277" s="485"/>
      <c r="BU277" s="483"/>
      <c r="BV277" s="486"/>
      <c r="BW277" s="487"/>
      <c r="BX277" s="440"/>
      <c r="BY277" s="488"/>
      <c r="BZ277" s="489"/>
      <c r="CA277" s="490"/>
      <c r="CB277" s="491"/>
      <c r="CC277" s="72"/>
      <c r="CD277" s="562"/>
      <c r="CE277" s="561"/>
      <c r="CF277" s="492"/>
      <c r="CG277" s="74"/>
      <c r="CH277" s="74"/>
      <c r="CI277" s="74"/>
      <c r="CJ277" s="74"/>
      <c r="CK277" s="74"/>
      <c r="CL277" s="74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31"/>
      <c r="DB277" s="31"/>
      <c r="DC277" s="31"/>
      <c r="DD277" s="31"/>
      <c r="DE277" s="31"/>
    </row>
    <row r="278" spans="1:109" hidden="1">
      <c r="A278" s="194"/>
      <c r="B278" s="195" t="s">
        <v>79</v>
      </c>
      <c r="C278" s="217" t="s">
        <v>54</v>
      </c>
      <c r="D278" s="31"/>
      <c r="E278" s="31"/>
      <c r="F278" s="31"/>
      <c r="G278" s="31"/>
      <c r="H278" s="242"/>
      <c r="I278" s="242"/>
      <c r="J278" s="242"/>
      <c r="K278" s="242"/>
      <c r="L278" s="242"/>
      <c r="M278" s="134">
        <v>0.77</v>
      </c>
      <c r="N278" s="134"/>
      <c r="O278" s="134"/>
      <c r="P278" s="134"/>
      <c r="Q278" s="134"/>
      <c r="R278" s="134"/>
      <c r="S278" s="134"/>
      <c r="T278" s="134"/>
      <c r="U278" s="134"/>
      <c r="V278" s="134"/>
      <c r="W278" s="134">
        <v>0.77</v>
      </c>
      <c r="X278" s="242"/>
      <c r="Y278" s="155"/>
      <c r="Z278" s="242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242"/>
      <c r="AK278" s="156"/>
      <c r="AL278" s="242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242"/>
      <c r="AW278" s="156"/>
      <c r="AX278" s="108"/>
      <c r="AY278" s="31"/>
      <c r="AZ278" s="109"/>
      <c r="BA278" s="62"/>
      <c r="BB278" s="62"/>
      <c r="BC278" s="62"/>
      <c r="BD278" s="62"/>
      <c r="BE278" s="110"/>
      <c r="BF278" s="109"/>
      <c r="BG278" s="62"/>
      <c r="BH278" s="62"/>
      <c r="BI278" s="110"/>
      <c r="BJ278" s="426">
        <f>BA278-AZ278</f>
        <v>0</v>
      </c>
      <c r="BK278" s="427"/>
      <c r="BL278" s="560"/>
      <c r="BM278" s="149"/>
      <c r="BN278" s="62"/>
      <c r="BO278" s="470"/>
      <c r="BP278" s="485"/>
      <c r="BQ278" s="483"/>
      <c r="BR278" s="486"/>
      <c r="BS278" s="487"/>
      <c r="BT278" s="485"/>
      <c r="BU278" s="483"/>
      <c r="BV278" s="486"/>
      <c r="BW278" s="487"/>
      <c r="BX278" s="440"/>
      <c r="BY278" s="488"/>
      <c r="BZ278" s="489">
        <f t="shared" si="142"/>
        <v>0.77</v>
      </c>
      <c r="CA278" s="490"/>
      <c r="CB278" s="491"/>
      <c r="CC278" s="72">
        <f t="shared" si="141"/>
        <v>0.77</v>
      </c>
      <c r="CD278" s="562"/>
      <c r="CE278" s="561"/>
      <c r="CF278" s="492">
        <v>7.28</v>
      </c>
      <c r="CG278" s="74"/>
      <c r="CH278" s="74"/>
      <c r="CI278" s="74"/>
      <c r="CJ278" s="74"/>
      <c r="CK278" s="74"/>
      <c r="CL278" s="74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  <c r="CZ278" s="75"/>
      <c r="DA278" s="31"/>
      <c r="DB278" s="31"/>
      <c r="DC278" s="31"/>
      <c r="DD278" s="31"/>
      <c r="DE278" s="31"/>
    </row>
    <row r="279" spans="1:109" hidden="1">
      <c r="A279" s="194"/>
      <c r="B279" s="195" t="s">
        <v>10</v>
      </c>
      <c r="C279" s="217" t="s">
        <v>54</v>
      </c>
      <c r="D279" s="31"/>
      <c r="E279" s="31"/>
      <c r="F279" s="31"/>
      <c r="G279" s="31"/>
      <c r="H279" s="242"/>
      <c r="I279" s="242"/>
      <c r="J279" s="242"/>
      <c r="K279" s="242"/>
      <c r="L279" s="242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242"/>
      <c r="Y279" s="155"/>
      <c r="Z279" s="242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242"/>
      <c r="AK279" s="156"/>
      <c r="AL279" s="242"/>
      <c r="AM279" s="134"/>
      <c r="AN279" s="134"/>
      <c r="AO279" s="134"/>
      <c r="AP279" s="134"/>
      <c r="AQ279" s="134"/>
      <c r="AR279" s="134"/>
      <c r="AS279" s="134"/>
      <c r="AT279" s="134"/>
      <c r="AU279" s="134"/>
      <c r="AV279" s="242"/>
      <c r="AW279" s="156"/>
      <c r="AX279" s="108"/>
      <c r="AY279" s="31"/>
      <c r="AZ279" s="109"/>
      <c r="BA279" s="62"/>
      <c r="BB279" s="62"/>
      <c r="BC279" s="62"/>
      <c r="BD279" s="62"/>
      <c r="BE279" s="110"/>
      <c r="BF279" s="109"/>
      <c r="BG279" s="62"/>
      <c r="BH279" s="62"/>
      <c r="BI279" s="110"/>
      <c r="BJ279" s="426"/>
      <c r="BK279" s="427"/>
      <c r="BL279" s="560"/>
      <c r="BM279" s="149"/>
      <c r="BN279" s="62"/>
      <c r="BO279" s="470"/>
      <c r="BP279" s="485"/>
      <c r="BQ279" s="483"/>
      <c r="BR279" s="486"/>
      <c r="BS279" s="487"/>
      <c r="BT279" s="485"/>
      <c r="BU279" s="483"/>
      <c r="BV279" s="486"/>
      <c r="BW279" s="487"/>
      <c r="BX279" s="440"/>
      <c r="BY279" s="488"/>
      <c r="BZ279" s="489"/>
      <c r="CA279" s="490"/>
      <c r="CB279" s="491"/>
      <c r="CC279" s="72"/>
      <c r="CD279" s="562"/>
      <c r="CE279" s="561"/>
      <c r="CF279" s="492"/>
      <c r="CG279" s="74"/>
      <c r="CH279" s="74"/>
      <c r="CI279" s="74"/>
      <c r="CJ279" s="74"/>
      <c r="CK279" s="74"/>
      <c r="CL279" s="74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31"/>
      <c r="DB279" s="31"/>
      <c r="DC279" s="31"/>
      <c r="DD279" s="31"/>
      <c r="DE279" s="31"/>
    </row>
    <row r="280" spans="1:109" hidden="1">
      <c r="A280" s="194"/>
      <c r="B280" s="195" t="s">
        <v>71</v>
      </c>
      <c r="C280" s="217" t="s">
        <v>54</v>
      </c>
      <c r="D280" s="31"/>
      <c r="E280" s="31"/>
      <c r="F280" s="31"/>
      <c r="G280" s="31"/>
      <c r="H280" s="242"/>
      <c r="I280" s="242"/>
      <c r="J280" s="242"/>
      <c r="K280" s="242"/>
      <c r="L280" s="242"/>
      <c r="M280" s="134">
        <v>3</v>
      </c>
      <c r="N280" s="134"/>
      <c r="O280" s="134"/>
      <c r="P280" s="134"/>
      <c r="Q280" s="134"/>
      <c r="R280" s="134"/>
      <c r="S280" s="134"/>
      <c r="T280" s="134"/>
      <c r="U280" s="134"/>
      <c r="V280" s="134"/>
      <c r="W280" s="134">
        <v>3</v>
      </c>
      <c r="X280" s="242"/>
      <c r="Y280" s="155"/>
      <c r="Z280" s="242"/>
      <c r="AA280" s="134">
        <v>0.3</v>
      </c>
      <c r="AB280" s="134"/>
      <c r="AC280" s="134"/>
      <c r="AD280" s="134"/>
      <c r="AE280" s="134"/>
      <c r="AF280" s="134"/>
      <c r="AG280" s="134"/>
      <c r="AH280" s="134"/>
      <c r="AI280" s="134"/>
      <c r="AJ280" s="242"/>
      <c r="AK280" s="156"/>
      <c r="AL280" s="242"/>
      <c r="AM280" s="134">
        <v>0.3</v>
      </c>
      <c r="AN280" s="134"/>
      <c r="AO280" s="134"/>
      <c r="AP280" s="134"/>
      <c r="AQ280" s="134"/>
      <c r="AR280" s="134"/>
      <c r="AS280" s="134"/>
      <c r="AT280" s="134"/>
      <c r="AU280" s="134"/>
      <c r="AV280" s="242"/>
      <c r="AW280" s="156"/>
      <c r="AX280" s="108"/>
      <c r="AY280" s="31"/>
      <c r="AZ280" s="109"/>
      <c r="BA280" s="62"/>
      <c r="BB280" s="62"/>
      <c r="BC280" s="62"/>
      <c r="BD280" s="62"/>
      <c r="BE280" s="110"/>
      <c r="BF280" s="109"/>
      <c r="BG280" s="62"/>
      <c r="BH280" s="62">
        <f>AY280-BF280</f>
        <v>0</v>
      </c>
      <c r="BI280" s="110"/>
      <c r="BJ280" s="426">
        <f>BA280-AZ280</f>
        <v>0</v>
      </c>
      <c r="BK280" s="427"/>
      <c r="BL280" s="560"/>
      <c r="BM280" s="149">
        <v>0.3</v>
      </c>
      <c r="BN280" s="62"/>
      <c r="BO280" s="470"/>
      <c r="BP280" s="485"/>
      <c r="BQ280" s="483"/>
      <c r="BR280" s="486"/>
      <c r="BS280" s="487"/>
      <c r="BT280" s="485"/>
      <c r="BU280" s="483"/>
      <c r="BV280" s="486"/>
      <c r="BW280" s="487"/>
      <c r="BX280" s="440"/>
      <c r="BY280" s="488"/>
      <c r="BZ280" s="489">
        <f t="shared" si="142"/>
        <v>3.3</v>
      </c>
      <c r="CA280" s="490"/>
      <c r="CB280" s="491"/>
      <c r="CC280" s="72">
        <f t="shared" si="141"/>
        <v>3.3</v>
      </c>
      <c r="CD280" s="562"/>
      <c r="CE280" s="561"/>
      <c r="CF280" s="492">
        <v>32.299999999999997</v>
      </c>
      <c r="CG280" s="74"/>
      <c r="CH280" s="74"/>
      <c r="CI280" s="74"/>
      <c r="CJ280" s="74"/>
      <c r="CK280" s="74"/>
      <c r="CL280" s="74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31"/>
      <c r="DB280" s="31"/>
      <c r="DC280" s="31"/>
      <c r="DD280" s="31"/>
      <c r="DE280" s="31"/>
    </row>
    <row r="281" spans="1:109" hidden="1">
      <c r="A281" s="194"/>
      <c r="B281" s="195" t="s">
        <v>60</v>
      </c>
      <c r="C281" s="217" t="s">
        <v>54</v>
      </c>
      <c r="D281" s="31"/>
      <c r="E281" s="31"/>
      <c r="F281" s="31"/>
      <c r="G281" s="31"/>
      <c r="H281" s="242"/>
      <c r="I281" s="242"/>
      <c r="J281" s="242"/>
      <c r="K281" s="242"/>
      <c r="L281" s="242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242"/>
      <c r="Y281" s="155"/>
      <c r="Z281" s="242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242"/>
      <c r="AK281" s="156"/>
      <c r="AL281" s="242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242"/>
      <c r="AW281" s="156"/>
      <c r="AX281" s="108"/>
      <c r="AY281" s="31"/>
      <c r="AZ281" s="109"/>
      <c r="BA281" s="62"/>
      <c r="BB281" s="62"/>
      <c r="BC281" s="62"/>
      <c r="BD281" s="62"/>
      <c r="BE281" s="110"/>
      <c r="BF281" s="109"/>
      <c r="BG281" s="62"/>
      <c r="BH281" s="62"/>
      <c r="BI281" s="110"/>
      <c r="BJ281" s="426">
        <f>BA281-AZ281</f>
        <v>0</v>
      </c>
      <c r="BK281" s="427"/>
      <c r="BL281" s="560"/>
      <c r="BM281" s="149"/>
      <c r="BN281" s="62"/>
      <c r="BO281" s="470"/>
      <c r="BP281" s="485"/>
      <c r="BQ281" s="483"/>
      <c r="BR281" s="486"/>
      <c r="BS281" s="487"/>
      <c r="BT281" s="485"/>
      <c r="BU281" s="483"/>
      <c r="BV281" s="486"/>
      <c r="BW281" s="487"/>
      <c r="BX281" s="440"/>
      <c r="BY281" s="488"/>
      <c r="BZ281" s="489">
        <f t="shared" si="142"/>
        <v>0</v>
      </c>
      <c r="CA281" s="490"/>
      <c r="CB281" s="491"/>
      <c r="CC281" s="72">
        <f t="shared" si="141"/>
        <v>0</v>
      </c>
      <c r="CD281" s="562"/>
      <c r="CE281" s="561"/>
      <c r="CF281" s="492">
        <v>4.5599999999999996</v>
      </c>
      <c r="CG281" s="74"/>
      <c r="CH281" s="74"/>
      <c r="CI281" s="74"/>
      <c r="CJ281" s="74"/>
      <c r="CK281" s="74"/>
      <c r="CL281" s="74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31"/>
      <c r="DB281" s="31"/>
      <c r="DC281" s="31"/>
      <c r="DD281" s="31"/>
      <c r="DE281" s="31"/>
    </row>
    <row r="282" spans="1:109" hidden="1">
      <c r="A282" s="194"/>
      <c r="B282" s="195" t="s">
        <v>61</v>
      </c>
      <c r="C282" s="217" t="s">
        <v>54</v>
      </c>
      <c r="D282" s="31"/>
      <c r="E282" s="31"/>
      <c r="F282" s="31"/>
      <c r="G282" s="31"/>
      <c r="H282" s="242"/>
      <c r="I282" s="242"/>
      <c r="J282" s="242"/>
      <c r="K282" s="242"/>
      <c r="L282" s="242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242"/>
      <c r="Y282" s="155"/>
      <c r="Z282" s="242"/>
      <c r="AA282" s="134">
        <v>0.36399999999999999</v>
      </c>
      <c r="AB282" s="134"/>
      <c r="AC282" s="134"/>
      <c r="AD282" s="134"/>
      <c r="AE282" s="134"/>
      <c r="AF282" s="134"/>
      <c r="AG282" s="134"/>
      <c r="AH282" s="134"/>
      <c r="AI282" s="134"/>
      <c r="AJ282" s="242"/>
      <c r="AK282" s="156"/>
      <c r="AL282" s="242"/>
      <c r="AM282" s="134">
        <v>0.36399999999999999</v>
      </c>
      <c r="AN282" s="134"/>
      <c r="AO282" s="134"/>
      <c r="AP282" s="134"/>
      <c r="AQ282" s="134"/>
      <c r="AR282" s="134"/>
      <c r="AS282" s="134"/>
      <c r="AT282" s="134"/>
      <c r="AU282" s="134"/>
      <c r="AV282" s="242"/>
      <c r="AW282" s="156"/>
      <c r="AX282" s="108"/>
      <c r="AY282" s="31"/>
      <c r="AZ282" s="109"/>
      <c r="BA282" s="62"/>
      <c r="BB282" s="62"/>
      <c r="BC282" s="62"/>
      <c r="BD282" s="62"/>
      <c r="BE282" s="110"/>
      <c r="BF282" s="109"/>
      <c r="BG282" s="62"/>
      <c r="BH282" s="62">
        <f>AY282</f>
        <v>0</v>
      </c>
      <c r="BI282" s="110"/>
      <c r="BJ282" s="426">
        <f>BA282-AZ282</f>
        <v>0</v>
      </c>
      <c r="BK282" s="427"/>
      <c r="BL282" s="560"/>
      <c r="BM282" s="149">
        <v>0.36399999999999999</v>
      </c>
      <c r="BN282" s="62"/>
      <c r="BO282" s="470"/>
      <c r="BP282" s="485"/>
      <c r="BQ282" s="483"/>
      <c r="BR282" s="486"/>
      <c r="BS282" s="487"/>
      <c r="BT282" s="485"/>
      <c r="BU282" s="483"/>
      <c r="BV282" s="486"/>
      <c r="BW282" s="487"/>
      <c r="BX282" s="440"/>
      <c r="BY282" s="488"/>
      <c r="BZ282" s="489">
        <f t="shared" si="142"/>
        <v>0.36399999999999999</v>
      </c>
      <c r="CA282" s="490"/>
      <c r="CB282" s="491"/>
      <c r="CC282" s="72">
        <f t="shared" si="141"/>
        <v>0.36399999999999999</v>
      </c>
      <c r="CD282" s="562"/>
      <c r="CE282" s="561"/>
      <c r="CF282" s="492">
        <v>1.71</v>
      </c>
      <c r="CG282" s="74"/>
      <c r="CH282" s="74"/>
      <c r="CI282" s="74"/>
      <c r="CJ282" s="74"/>
      <c r="CK282" s="74"/>
      <c r="CL282" s="74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31"/>
      <c r="DB282" s="31"/>
      <c r="DC282" s="31"/>
      <c r="DD282" s="31"/>
      <c r="DE282" s="31"/>
    </row>
    <row r="283" spans="1:109" hidden="1">
      <c r="A283" s="194"/>
      <c r="B283" s="195" t="s">
        <v>197</v>
      </c>
      <c r="C283" s="217"/>
      <c r="D283" s="31"/>
      <c r="E283" s="31"/>
      <c r="F283" s="31"/>
      <c r="G283" s="31"/>
      <c r="H283" s="242"/>
      <c r="I283" s="242"/>
      <c r="J283" s="242"/>
      <c r="K283" s="242"/>
      <c r="L283" s="242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242"/>
      <c r="Y283" s="155"/>
      <c r="Z283" s="242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242"/>
      <c r="AK283" s="156"/>
      <c r="AL283" s="242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242"/>
      <c r="AW283" s="156"/>
      <c r="AX283" s="108"/>
      <c r="AY283" s="31"/>
      <c r="AZ283" s="109"/>
      <c r="BA283" s="62"/>
      <c r="BB283" s="62"/>
      <c r="BC283" s="62"/>
      <c r="BD283" s="62"/>
      <c r="BE283" s="110"/>
      <c r="BF283" s="109"/>
      <c r="BG283" s="62"/>
      <c r="BH283" s="62">
        <f>AY283</f>
        <v>0</v>
      </c>
      <c r="BI283" s="110"/>
      <c r="BJ283" s="426"/>
      <c r="BK283" s="427"/>
      <c r="BL283" s="560"/>
      <c r="BM283" s="149"/>
      <c r="BN283" s="62"/>
      <c r="BO283" s="470"/>
      <c r="BP283" s="485"/>
      <c r="BQ283" s="483"/>
      <c r="BR283" s="486"/>
      <c r="BS283" s="487"/>
      <c r="BT283" s="485"/>
      <c r="BU283" s="483"/>
      <c r="BV283" s="486"/>
      <c r="BW283" s="487"/>
      <c r="BX283" s="440"/>
      <c r="BY283" s="488"/>
      <c r="BZ283" s="489"/>
      <c r="CA283" s="490"/>
      <c r="CB283" s="491"/>
      <c r="CC283" s="72"/>
      <c r="CD283" s="562"/>
      <c r="CE283" s="561"/>
      <c r="CF283" s="492"/>
      <c r="CG283" s="74"/>
      <c r="CH283" s="74"/>
      <c r="CI283" s="74"/>
      <c r="CJ283" s="74"/>
      <c r="CK283" s="74"/>
      <c r="CL283" s="74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31"/>
      <c r="DB283" s="31"/>
      <c r="DC283" s="31"/>
      <c r="DD283" s="31"/>
      <c r="DE283" s="31"/>
    </row>
    <row r="284" spans="1:109" hidden="1">
      <c r="A284" s="194"/>
      <c r="B284" s="195" t="s">
        <v>62</v>
      </c>
      <c r="C284" s="217"/>
      <c r="D284" s="31"/>
      <c r="E284" s="31"/>
      <c r="F284" s="31"/>
      <c r="G284" s="31"/>
      <c r="H284" s="242"/>
      <c r="I284" s="242"/>
      <c r="J284" s="242"/>
      <c r="K284" s="242"/>
      <c r="L284" s="242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242"/>
      <c r="Y284" s="155"/>
      <c r="Z284" s="242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242"/>
      <c r="AK284" s="156"/>
      <c r="AL284" s="242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242"/>
      <c r="AW284" s="156"/>
      <c r="AX284" s="108"/>
      <c r="AY284" s="31"/>
      <c r="AZ284" s="109"/>
      <c r="BA284" s="62"/>
      <c r="BB284" s="62"/>
      <c r="BC284" s="62"/>
      <c r="BD284" s="62"/>
      <c r="BE284" s="110"/>
      <c r="BF284" s="109"/>
      <c r="BG284" s="62"/>
      <c r="BH284" s="62">
        <v>7</v>
      </c>
      <c r="BI284" s="110"/>
      <c r="BJ284" s="426"/>
      <c r="BK284" s="427"/>
      <c r="BL284" s="560"/>
      <c r="BM284" s="149"/>
      <c r="BN284" s="62"/>
      <c r="BO284" s="470"/>
      <c r="BP284" s="485"/>
      <c r="BQ284" s="483"/>
      <c r="BR284" s="486"/>
      <c r="BS284" s="487"/>
      <c r="BT284" s="485"/>
      <c r="BU284" s="483"/>
      <c r="BV284" s="486"/>
      <c r="BW284" s="487"/>
      <c r="BX284" s="440"/>
      <c r="BY284" s="488"/>
      <c r="BZ284" s="489"/>
      <c r="CA284" s="490"/>
      <c r="CB284" s="491"/>
      <c r="CC284" s="72"/>
      <c r="CD284" s="562"/>
      <c r="CE284" s="561"/>
      <c r="CF284" s="492"/>
      <c r="CG284" s="74"/>
      <c r="CH284" s="74"/>
      <c r="CI284" s="74"/>
      <c r="CJ284" s="74"/>
      <c r="CK284" s="74"/>
      <c r="CL284" s="74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31"/>
      <c r="DB284" s="31"/>
      <c r="DC284" s="31"/>
      <c r="DD284" s="31"/>
      <c r="DE284" s="31"/>
    </row>
    <row r="285" spans="1:109" hidden="1">
      <c r="A285" s="194"/>
      <c r="B285" s="195" t="s">
        <v>216</v>
      </c>
      <c r="C285" s="217"/>
      <c r="D285" s="31"/>
      <c r="E285" s="31"/>
      <c r="F285" s="31"/>
      <c r="G285" s="31"/>
      <c r="H285" s="242"/>
      <c r="I285" s="242"/>
      <c r="J285" s="242"/>
      <c r="K285" s="242"/>
      <c r="L285" s="242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242"/>
      <c r="Y285" s="155"/>
      <c r="Z285" s="242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242"/>
      <c r="AK285" s="156"/>
      <c r="AL285" s="242"/>
      <c r="AM285" s="134"/>
      <c r="AN285" s="134"/>
      <c r="AO285" s="134"/>
      <c r="AP285" s="134"/>
      <c r="AQ285" s="134"/>
      <c r="AR285" s="134"/>
      <c r="AS285" s="134"/>
      <c r="AT285" s="134"/>
      <c r="AU285" s="134"/>
      <c r="AV285" s="242"/>
      <c r="AW285" s="156"/>
      <c r="AX285" s="108"/>
      <c r="AY285" s="31"/>
      <c r="AZ285" s="109"/>
      <c r="BA285" s="62"/>
      <c r="BB285" s="62"/>
      <c r="BC285" s="62"/>
      <c r="BD285" s="62"/>
      <c r="BE285" s="110"/>
      <c r="BF285" s="109">
        <f>AY285</f>
        <v>0</v>
      </c>
      <c r="BG285" s="62"/>
      <c r="BH285" s="62"/>
      <c r="BI285" s="110"/>
      <c r="BJ285" s="426"/>
      <c r="BK285" s="427"/>
      <c r="BL285" s="560"/>
      <c r="BM285" s="149"/>
      <c r="BN285" s="62"/>
      <c r="BO285" s="470"/>
      <c r="BP285" s="485"/>
      <c r="BQ285" s="483"/>
      <c r="BR285" s="486"/>
      <c r="BS285" s="487"/>
      <c r="BT285" s="485"/>
      <c r="BU285" s="483"/>
      <c r="BV285" s="486"/>
      <c r="BW285" s="487"/>
      <c r="BX285" s="440"/>
      <c r="BY285" s="488"/>
      <c r="BZ285" s="489"/>
      <c r="CA285" s="490"/>
      <c r="CB285" s="491"/>
      <c r="CC285" s="72"/>
      <c r="CD285" s="562"/>
      <c r="CE285" s="561"/>
      <c r="CF285" s="492"/>
      <c r="CG285" s="74"/>
      <c r="CH285" s="74"/>
      <c r="CI285" s="74"/>
      <c r="CJ285" s="74"/>
      <c r="CK285" s="74"/>
      <c r="CL285" s="74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31"/>
      <c r="DB285" s="31"/>
      <c r="DC285" s="31"/>
      <c r="DD285" s="31"/>
      <c r="DE285" s="31"/>
    </row>
    <row r="286" spans="1:109" hidden="1">
      <c r="A286" s="194"/>
      <c r="B286" s="195" t="s">
        <v>73</v>
      </c>
      <c r="C286" s="217" t="s">
        <v>54</v>
      </c>
      <c r="D286" s="31"/>
      <c r="E286" s="31"/>
      <c r="F286" s="31"/>
      <c r="G286" s="31"/>
      <c r="H286" s="242"/>
      <c r="I286" s="242"/>
      <c r="J286" s="242"/>
      <c r="K286" s="242"/>
      <c r="L286" s="242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242"/>
      <c r="Y286" s="155"/>
      <c r="Z286" s="242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242"/>
      <c r="AK286" s="156"/>
      <c r="AL286" s="242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242"/>
      <c r="AW286" s="156"/>
      <c r="AX286" s="108"/>
      <c r="AY286" s="31"/>
      <c r="AZ286" s="109"/>
      <c r="BA286" s="62"/>
      <c r="BB286" s="62"/>
      <c r="BC286" s="62"/>
      <c r="BD286" s="62"/>
      <c r="BE286" s="110"/>
      <c r="BF286" s="109"/>
      <c r="BG286" s="62"/>
      <c r="BH286" s="62"/>
      <c r="BI286" s="110"/>
      <c r="BJ286" s="426">
        <f t="shared" ref="BJ286:BJ296" si="143">BA286-AZ286</f>
        <v>0</v>
      </c>
      <c r="BK286" s="427"/>
      <c r="BL286" s="560"/>
      <c r="BM286" s="149"/>
      <c r="BN286" s="62"/>
      <c r="BO286" s="470"/>
      <c r="BP286" s="485"/>
      <c r="BQ286" s="483"/>
      <c r="BR286" s="486"/>
      <c r="BS286" s="487"/>
      <c r="BT286" s="485"/>
      <c r="BU286" s="483"/>
      <c r="BV286" s="486"/>
      <c r="BW286" s="487"/>
      <c r="BX286" s="440"/>
      <c r="BY286" s="488"/>
      <c r="BZ286" s="489">
        <f t="shared" si="142"/>
        <v>0</v>
      </c>
      <c r="CA286" s="490"/>
      <c r="CB286" s="491"/>
      <c r="CC286" s="72">
        <f t="shared" si="141"/>
        <v>0</v>
      </c>
      <c r="CD286" s="562"/>
      <c r="CE286" s="561"/>
      <c r="CF286" s="492">
        <v>31.5</v>
      </c>
      <c r="CG286" s="74"/>
      <c r="CH286" s="74"/>
      <c r="CI286" s="74"/>
      <c r="CJ286" s="74"/>
      <c r="CK286" s="74"/>
      <c r="CL286" s="74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31"/>
      <c r="DB286" s="31"/>
      <c r="DC286" s="31"/>
      <c r="DD286" s="31"/>
      <c r="DE286" s="31"/>
    </row>
    <row r="287" spans="1:109" hidden="1">
      <c r="A287" s="194"/>
      <c r="B287" s="195" t="s">
        <v>72</v>
      </c>
      <c r="C287" s="217" t="s">
        <v>54</v>
      </c>
      <c r="D287" s="31"/>
      <c r="E287" s="31"/>
      <c r="F287" s="31"/>
      <c r="G287" s="31"/>
      <c r="H287" s="242"/>
      <c r="I287" s="242"/>
      <c r="J287" s="242"/>
      <c r="K287" s="242"/>
      <c r="L287" s="242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242"/>
      <c r="Y287" s="155"/>
      <c r="Z287" s="242"/>
      <c r="AA287" s="134">
        <v>19.2</v>
      </c>
      <c r="AB287" s="134"/>
      <c r="AC287" s="134"/>
      <c r="AD287" s="134"/>
      <c r="AE287" s="134"/>
      <c r="AF287" s="134"/>
      <c r="AG287" s="134"/>
      <c r="AH287" s="134"/>
      <c r="AI287" s="134"/>
      <c r="AJ287" s="242"/>
      <c r="AK287" s="156"/>
      <c r="AL287" s="242"/>
      <c r="AM287" s="134">
        <v>19.2</v>
      </c>
      <c r="AN287" s="134"/>
      <c r="AO287" s="134"/>
      <c r="AP287" s="134"/>
      <c r="AQ287" s="134"/>
      <c r="AR287" s="134"/>
      <c r="AS287" s="134"/>
      <c r="AT287" s="134"/>
      <c r="AU287" s="134"/>
      <c r="AV287" s="242"/>
      <c r="AW287" s="156"/>
      <c r="AX287" s="108"/>
      <c r="AY287" s="31"/>
      <c r="AZ287" s="109"/>
      <c r="BA287" s="62"/>
      <c r="BB287" s="62"/>
      <c r="BC287" s="62"/>
      <c r="BD287" s="62"/>
      <c r="BE287" s="110"/>
      <c r="BF287" s="109"/>
      <c r="BG287" s="62"/>
      <c r="BH287" s="62"/>
      <c r="BI287" s="110"/>
      <c r="BJ287" s="426">
        <f t="shared" si="143"/>
        <v>0</v>
      </c>
      <c r="BK287" s="427"/>
      <c r="BL287" s="560"/>
      <c r="BM287" s="149">
        <v>19.2</v>
      </c>
      <c r="BN287" s="62"/>
      <c r="BO287" s="470"/>
      <c r="BP287" s="485"/>
      <c r="BQ287" s="483"/>
      <c r="BR287" s="486"/>
      <c r="BS287" s="487"/>
      <c r="BT287" s="485"/>
      <c r="BU287" s="483"/>
      <c r="BV287" s="486"/>
      <c r="BW287" s="487"/>
      <c r="BX287" s="440"/>
      <c r="BY287" s="488"/>
      <c r="BZ287" s="489">
        <f t="shared" si="142"/>
        <v>19.2</v>
      </c>
      <c r="CA287" s="490"/>
      <c r="CB287" s="491"/>
      <c r="CC287" s="72">
        <f t="shared" si="141"/>
        <v>19.2</v>
      </c>
      <c r="CD287" s="562"/>
      <c r="CE287" s="561"/>
      <c r="CF287" s="492">
        <v>22.2</v>
      </c>
      <c r="CG287" s="74"/>
      <c r="CH287" s="74"/>
      <c r="CI287" s="74"/>
      <c r="CJ287" s="74"/>
      <c r="CK287" s="74"/>
      <c r="CL287" s="74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31"/>
      <c r="DB287" s="31"/>
      <c r="DC287" s="31"/>
      <c r="DD287" s="31"/>
      <c r="DE287" s="31"/>
    </row>
    <row r="288" spans="1:109" hidden="1">
      <c r="A288" s="194"/>
      <c r="B288" s="195" t="s">
        <v>19</v>
      </c>
      <c r="C288" s="217" t="s">
        <v>54</v>
      </c>
      <c r="D288" s="31"/>
      <c r="E288" s="31"/>
      <c r="F288" s="31"/>
      <c r="G288" s="31"/>
      <c r="H288" s="242"/>
      <c r="I288" s="242"/>
      <c r="J288" s="242"/>
      <c r="K288" s="242"/>
      <c r="L288" s="242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242"/>
      <c r="Y288" s="155"/>
      <c r="Z288" s="242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242"/>
      <c r="AK288" s="156"/>
      <c r="AL288" s="242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242"/>
      <c r="AW288" s="156"/>
      <c r="AX288" s="108"/>
      <c r="AY288" s="31"/>
      <c r="AZ288" s="109"/>
      <c r="BA288" s="62"/>
      <c r="BB288" s="62"/>
      <c r="BC288" s="62"/>
      <c r="BD288" s="62"/>
      <c r="BE288" s="110"/>
      <c r="BF288" s="109"/>
      <c r="BG288" s="62"/>
      <c r="BH288" s="62"/>
      <c r="BI288" s="110"/>
      <c r="BJ288" s="426">
        <f t="shared" si="143"/>
        <v>0</v>
      </c>
      <c r="BK288" s="427"/>
      <c r="BL288" s="560"/>
      <c r="BM288" s="149"/>
      <c r="BN288" s="62"/>
      <c r="BO288" s="470"/>
      <c r="BP288" s="485"/>
      <c r="BQ288" s="483"/>
      <c r="BR288" s="486"/>
      <c r="BS288" s="487"/>
      <c r="BT288" s="485"/>
      <c r="BU288" s="483"/>
      <c r="BV288" s="486"/>
      <c r="BW288" s="487"/>
      <c r="BX288" s="440"/>
      <c r="BY288" s="488"/>
      <c r="BZ288" s="489">
        <f t="shared" si="142"/>
        <v>0</v>
      </c>
      <c r="CA288" s="490"/>
      <c r="CB288" s="491"/>
      <c r="CC288" s="72">
        <f t="shared" si="141"/>
        <v>0</v>
      </c>
      <c r="CD288" s="562"/>
      <c r="CE288" s="561"/>
      <c r="CF288" s="492">
        <v>1.57</v>
      </c>
      <c r="CG288" s="74"/>
      <c r="CH288" s="74"/>
      <c r="CI288" s="74"/>
      <c r="CJ288" s="74"/>
      <c r="CK288" s="74"/>
      <c r="CL288" s="74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31"/>
      <c r="DB288" s="31"/>
      <c r="DC288" s="31"/>
      <c r="DD288" s="31"/>
      <c r="DE288" s="31"/>
    </row>
    <row r="289" spans="1:109" hidden="1">
      <c r="A289" s="194" t="s">
        <v>146</v>
      </c>
      <c r="B289" s="199" t="s">
        <v>15</v>
      </c>
      <c r="C289" s="217" t="s">
        <v>54</v>
      </c>
      <c r="D289" s="179"/>
      <c r="E289" s="179"/>
      <c r="F289" s="179"/>
      <c r="G289" s="179"/>
      <c r="H289" s="283"/>
      <c r="I289" s="283"/>
      <c r="J289" s="283"/>
      <c r="K289" s="283"/>
      <c r="L289" s="283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283"/>
      <c r="Y289" s="284"/>
      <c r="Z289" s="283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283"/>
      <c r="AK289" s="285"/>
      <c r="AL289" s="283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283"/>
      <c r="AW289" s="285"/>
      <c r="AX289" s="108">
        <v>5.2</v>
      </c>
      <c r="AY289" s="179"/>
      <c r="AZ289" s="184"/>
      <c r="BA289" s="185"/>
      <c r="BB289" s="185"/>
      <c r="BC289" s="185"/>
      <c r="BD289" s="185"/>
      <c r="BE289" s="186"/>
      <c r="BF289" s="184"/>
      <c r="BG289" s="185"/>
      <c r="BH289" s="185">
        <f>SUM(BH290)</f>
        <v>0</v>
      </c>
      <c r="BI289" s="186"/>
      <c r="BJ289" s="426">
        <f t="shared" si="143"/>
        <v>0</v>
      </c>
      <c r="BK289" s="427"/>
      <c r="BL289" s="637"/>
      <c r="BM289" s="204">
        <f>BM290</f>
        <v>0</v>
      </c>
      <c r="BN289" s="185"/>
      <c r="BO289" s="470"/>
      <c r="BP289" s="496"/>
      <c r="BQ289" s="495"/>
      <c r="BR289" s="497"/>
      <c r="BS289" s="498"/>
      <c r="BT289" s="496"/>
      <c r="BU289" s="495"/>
      <c r="BV289" s="497"/>
      <c r="BW289" s="498"/>
      <c r="BX289" s="499"/>
      <c r="BY289" s="500"/>
      <c r="BZ289" s="501">
        <f>SUM(BZ290)</f>
        <v>0</v>
      </c>
      <c r="CA289" s="502"/>
      <c r="CB289" s="503"/>
      <c r="CC289" s="72">
        <f t="shared" si="141"/>
        <v>0</v>
      </c>
      <c r="CD289" s="638"/>
      <c r="CE289" s="639"/>
      <c r="CF289" s="505">
        <f>SUM(CF290)</f>
        <v>3.53</v>
      </c>
      <c r="CG289" s="465"/>
      <c r="CH289" s="465"/>
      <c r="CI289" s="465"/>
      <c r="CJ289" s="465"/>
      <c r="CK289" s="465"/>
      <c r="CL289" s="465"/>
      <c r="CM289" s="466"/>
      <c r="CN289" s="466"/>
      <c r="CO289" s="466"/>
      <c r="CP289" s="466"/>
      <c r="CQ289" s="466"/>
      <c r="CR289" s="466"/>
      <c r="CS289" s="466"/>
      <c r="CT289" s="466"/>
      <c r="CU289" s="466"/>
      <c r="CV289" s="466"/>
      <c r="CW289" s="466"/>
      <c r="CX289" s="466"/>
      <c r="CY289" s="466"/>
      <c r="CZ289" s="466"/>
      <c r="DA289" s="179"/>
      <c r="DB289" s="179"/>
      <c r="DC289" s="179"/>
      <c r="DD289" s="179"/>
      <c r="DE289" s="179"/>
    </row>
    <row r="290" spans="1:109" hidden="1">
      <c r="A290" s="194"/>
      <c r="B290" s="195" t="s">
        <v>16</v>
      </c>
      <c r="C290" s="217" t="s">
        <v>54</v>
      </c>
      <c r="D290" s="31"/>
      <c r="E290" s="31"/>
      <c r="F290" s="31"/>
      <c r="G290" s="31"/>
      <c r="H290" s="242"/>
      <c r="I290" s="242"/>
      <c r="J290" s="242"/>
      <c r="K290" s="242"/>
      <c r="L290" s="242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242"/>
      <c r="Y290" s="155"/>
      <c r="Z290" s="242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242"/>
      <c r="AK290" s="156"/>
      <c r="AL290" s="242"/>
      <c r="AM290" s="134"/>
      <c r="AN290" s="134"/>
      <c r="AO290" s="134"/>
      <c r="AP290" s="134"/>
      <c r="AQ290" s="134"/>
      <c r="AR290" s="134"/>
      <c r="AS290" s="134"/>
      <c r="AT290" s="134"/>
      <c r="AU290" s="134"/>
      <c r="AV290" s="242"/>
      <c r="AW290" s="156"/>
      <c r="AX290" s="108"/>
      <c r="AY290" s="31"/>
      <c r="AZ290" s="109"/>
      <c r="BA290" s="62"/>
      <c r="BB290" s="62"/>
      <c r="BC290" s="62"/>
      <c r="BD290" s="62"/>
      <c r="BE290" s="110"/>
      <c r="BF290" s="109"/>
      <c r="BG290" s="62"/>
      <c r="BH290" s="62">
        <f>AY290</f>
        <v>0</v>
      </c>
      <c r="BI290" s="110"/>
      <c r="BJ290" s="426">
        <f t="shared" si="143"/>
        <v>0</v>
      </c>
      <c r="BK290" s="427"/>
      <c r="BL290" s="560"/>
      <c r="BM290" s="149"/>
      <c r="BN290" s="62"/>
      <c r="BO290" s="470"/>
      <c r="BP290" s="485"/>
      <c r="BQ290" s="483"/>
      <c r="BR290" s="486"/>
      <c r="BS290" s="487"/>
      <c r="BT290" s="485"/>
      <c r="BU290" s="483"/>
      <c r="BV290" s="486"/>
      <c r="BW290" s="487"/>
      <c r="BX290" s="440"/>
      <c r="BY290" s="488"/>
      <c r="BZ290" s="489">
        <f>M290+BM290+BQ290+BU290</f>
        <v>0</v>
      </c>
      <c r="CA290" s="490"/>
      <c r="CB290" s="491"/>
      <c r="CC290" s="72">
        <f t="shared" si="141"/>
        <v>0</v>
      </c>
      <c r="CD290" s="562"/>
      <c r="CE290" s="561"/>
      <c r="CF290" s="492">
        <v>3.53</v>
      </c>
      <c r="CG290" s="74"/>
      <c r="CH290" s="74"/>
      <c r="CI290" s="74"/>
      <c r="CJ290" s="74"/>
      <c r="CK290" s="74"/>
      <c r="CL290" s="74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31"/>
      <c r="DB290" s="31"/>
      <c r="DC290" s="31"/>
      <c r="DD290" s="31"/>
      <c r="DE290" s="31"/>
    </row>
    <row r="291" spans="1:109" hidden="1">
      <c r="A291" s="194" t="s">
        <v>147</v>
      </c>
      <c r="B291" s="199" t="s">
        <v>20</v>
      </c>
      <c r="C291" s="217" t="s">
        <v>54</v>
      </c>
      <c r="D291" s="179"/>
      <c r="E291" s="179"/>
      <c r="F291" s="179"/>
      <c r="G291" s="179"/>
      <c r="H291" s="283"/>
      <c r="I291" s="283"/>
      <c r="J291" s="283"/>
      <c r="K291" s="283"/>
      <c r="L291" s="283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283"/>
      <c r="Y291" s="284"/>
      <c r="Z291" s="283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283"/>
      <c r="AK291" s="285"/>
      <c r="AL291" s="283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283"/>
      <c r="AW291" s="285"/>
      <c r="AX291" s="108">
        <v>1.98</v>
      </c>
      <c r="AY291" s="179"/>
      <c r="AZ291" s="184"/>
      <c r="BA291" s="185"/>
      <c r="BB291" s="185"/>
      <c r="BC291" s="185"/>
      <c r="BD291" s="185"/>
      <c r="BE291" s="186"/>
      <c r="BF291" s="184"/>
      <c r="BG291" s="185"/>
      <c r="BH291" s="185">
        <f>SUM(BH292)</f>
        <v>0</v>
      </c>
      <c r="BI291" s="186"/>
      <c r="BJ291" s="426">
        <f t="shared" si="143"/>
        <v>0</v>
      </c>
      <c r="BK291" s="427"/>
      <c r="BL291" s="637"/>
      <c r="BM291" s="204">
        <f>BM292</f>
        <v>0</v>
      </c>
      <c r="BN291" s="185"/>
      <c r="BO291" s="470"/>
      <c r="BP291" s="496"/>
      <c r="BQ291" s="495"/>
      <c r="BR291" s="497"/>
      <c r="BS291" s="498"/>
      <c r="BT291" s="496"/>
      <c r="BU291" s="495"/>
      <c r="BV291" s="497"/>
      <c r="BW291" s="498"/>
      <c r="BX291" s="499"/>
      <c r="BY291" s="500"/>
      <c r="BZ291" s="501">
        <f>SUM(BZ292)</f>
        <v>0</v>
      </c>
      <c r="CA291" s="502"/>
      <c r="CB291" s="503"/>
      <c r="CC291" s="72">
        <f t="shared" si="141"/>
        <v>0</v>
      </c>
      <c r="CD291" s="638"/>
      <c r="CE291" s="639"/>
      <c r="CF291" s="505">
        <f>SUM(CF292)</f>
        <v>2.92</v>
      </c>
      <c r="CG291" s="465"/>
      <c r="CH291" s="465"/>
      <c r="CI291" s="465"/>
      <c r="CJ291" s="465"/>
      <c r="CK291" s="465"/>
      <c r="CL291" s="465"/>
      <c r="CM291" s="466"/>
      <c r="CN291" s="466"/>
      <c r="CO291" s="466"/>
      <c r="CP291" s="466"/>
      <c r="CQ291" s="466"/>
      <c r="CR291" s="466"/>
      <c r="CS291" s="466"/>
      <c r="CT291" s="466"/>
      <c r="CU291" s="466"/>
      <c r="CV291" s="466"/>
      <c r="CW291" s="466"/>
      <c r="CX291" s="466"/>
      <c r="CY291" s="466"/>
      <c r="CZ291" s="466"/>
      <c r="DA291" s="179"/>
      <c r="DB291" s="179"/>
      <c r="DC291" s="179"/>
      <c r="DD291" s="179"/>
      <c r="DE291" s="179"/>
    </row>
    <row r="292" spans="1:109" hidden="1">
      <c r="A292" s="194"/>
      <c r="B292" s="195" t="s">
        <v>21</v>
      </c>
      <c r="C292" s="217" t="s">
        <v>54</v>
      </c>
      <c r="D292" s="78"/>
      <c r="E292" s="78"/>
      <c r="F292" s="78"/>
      <c r="G292" s="78"/>
      <c r="H292" s="242"/>
      <c r="I292" s="242"/>
      <c r="J292" s="242"/>
      <c r="K292" s="242"/>
      <c r="L292" s="242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242"/>
      <c r="Y292" s="155"/>
      <c r="Z292" s="242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242"/>
      <c r="AK292" s="156"/>
      <c r="AL292" s="242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242"/>
      <c r="AW292" s="156"/>
      <c r="AX292" s="108"/>
      <c r="AY292" s="31"/>
      <c r="AZ292" s="109"/>
      <c r="BA292" s="62"/>
      <c r="BB292" s="62"/>
      <c r="BC292" s="62"/>
      <c r="BD292" s="62"/>
      <c r="BE292" s="110"/>
      <c r="BF292" s="109"/>
      <c r="BG292" s="62"/>
      <c r="BH292" s="62">
        <f>AY292</f>
        <v>0</v>
      </c>
      <c r="BI292" s="110"/>
      <c r="BJ292" s="426">
        <f t="shared" si="143"/>
        <v>0</v>
      </c>
      <c r="BK292" s="427"/>
      <c r="BL292" s="560"/>
      <c r="BM292" s="149"/>
      <c r="BN292" s="62"/>
      <c r="BO292" s="470"/>
      <c r="BP292" s="485"/>
      <c r="BQ292" s="483"/>
      <c r="BR292" s="486"/>
      <c r="BS292" s="487"/>
      <c r="BT292" s="485"/>
      <c r="BU292" s="483"/>
      <c r="BV292" s="486"/>
      <c r="BW292" s="487"/>
      <c r="BX292" s="440"/>
      <c r="BY292" s="488"/>
      <c r="BZ292" s="489">
        <f>M292+BM292+BQ292+BU292</f>
        <v>0</v>
      </c>
      <c r="CA292" s="490"/>
      <c r="CB292" s="491"/>
      <c r="CC292" s="72">
        <f t="shared" si="141"/>
        <v>0</v>
      </c>
      <c r="CD292" s="562"/>
      <c r="CE292" s="561"/>
      <c r="CF292" s="492">
        <v>2.92</v>
      </c>
      <c r="CG292" s="74"/>
      <c r="CH292" s="74"/>
      <c r="CI292" s="74"/>
      <c r="CJ292" s="74"/>
      <c r="CK292" s="74"/>
      <c r="CL292" s="74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31"/>
      <c r="DB292" s="31"/>
      <c r="DC292" s="78"/>
      <c r="DD292" s="78"/>
      <c r="DE292" s="78"/>
    </row>
    <row r="293" spans="1:109" hidden="1">
      <c r="A293" s="194" t="s">
        <v>217</v>
      </c>
      <c r="B293" s="199" t="s">
        <v>22</v>
      </c>
      <c r="C293" s="217" t="s">
        <v>54</v>
      </c>
      <c r="D293" s="179"/>
      <c r="E293" s="179"/>
      <c r="F293" s="179"/>
      <c r="G293" s="179"/>
      <c r="H293" s="283"/>
      <c r="I293" s="283"/>
      <c r="J293" s="283"/>
      <c r="K293" s="283"/>
      <c r="L293" s="283"/>
      <c r="M293" s="180">
        <f>SUM(M294:M295)</f>
        <v>5.77</v>
      </c>
      <c r="N293" s="180"/>
      <c r="O293" s="180"/>
      <c r="P293" s="180"/>
      <c r="Q293" s="180"/>
      <c r="R293" s="180"/>
      <c r="S293" s="180"/>
      <c r="T293" s="180"/>
      <c r="U293" s="180"/>
      <c r="V293" s="180"/>
      <c r="W293" s="180">
        <f>SUM(W294)</f>
        <v>5.77</v>
      </c>
      <c r="X293" s="283"/>
      <c r="Y293" s="284"/>
      <c r="Z293" s="283"/>
      <c r="AA293" s="180">
        <f>SUM(AA294:AA295)</f>
        <v>6.8599899999999998</v>
      </c>
      <c r="AB293" s="180"/>
      <c r="AC293" s="180"/>
      <c r="AD293" s="180"/>
      <c r="AE293" s="180"/>
      <c r="AF293" s="180"/>
      <c r="AG293" s="180"/>
      <c r="AH293" s="180"/>
      <c r="AI293" s="180">
        <f>SUM(AI294)</f>
        <v>0</v>
      </c>
      <c r="AJ293" s="283"/>
      <c r="AK293" s="285"/>
      <c r="AL293" s="283"/>
      <c r="AM293" s="180">
        <f>SUM(AM294:AM295)</f>
        <v>6.8599899999999998</v>
      </c>
      <c r="AN293" s="180"/>
      <c r="AO293" s="180"/>
      <c r="AP293" s="180"/>
      <c r="AQ293" s="180"/>
      <c r="AR293" s="180"/>
      <c r="AS293" s="180"/>
      <c r="AT293" s="180"/>
      <c r="AU293" s="180">
        <f>SUM(AU294)</f>
        <v>0</v>
      </c>
      <c r="AV293" s="283"/>
      <c r="AW293" s="285"/>
      <c r="AX293" s="108">
        <v>36.6</v>
      </c>
      <c r="AY293" s="179"/>
      <c r="AZ293" s="184"/>
      <c r="BA293" s="185"/>
      <c r="BB293" s="185"/>
      <c r="BC293" s="185"/>
      <c r="BD293" s="185"/>
      <c r="BE293" s="186"/>
      <c r="BF293" s="184"/>
      <c r="BG293" s="185"/>
      <c r="BH293" s="185">
        <f>SUM(BH294)</f>
        <v>0</v>
      </c>
      <c r="BI293" s="186"/>
      <c r="BJ293" s="426">
        <f t="shared" si="143"/>
        <v>0</v>
      </c>
      <c r="BK293" s="427"/>
      <c r="BL293" s="637"/>
      <c r="BM293" s="204">
        <f>SUM(BM294:BM295)</f>
        <v>6.8599899999999998</v>
      </c>
      <c r="BN293" s="185"/>
      <c r="BO293" s="470"/>
      <c r="BP293" s="496"/>
      <c r="BQ293" s="495"/>
      <c r="BR293" s="497"/>
      <c r="BS293" s="498"/>
      <c r="BT293" s="496"/>
      <c r="BU293" s="495"/>
      <c r="BV293" s="497"/>
      <c r="BW293" s="498"/>
      <c r="BX293" s="499"/>
      <c r="BY293" s="500"/>
      <c r="BZ293" s="501">
        <f>SUM(BZ294:BZ295)</f>
        <v>12.629989999999999</v>
      </c>
      <c r="CA293" s="502"/>
      <c r="CB293" s="503"/>
      <c r="CC293" s="72">
        <f t="shared" si="141"/>
        <v>12.629989999999999</v>
      </c>
      <c r="CD293" s="638"/>
      <c r="CE293" s="639"/>
      <c r="CF293" s="505">
        <f>SUM(CF294:CF295)</f>
        <v>69.25</v>
      </c>
      <c r="CG293" s="465"/>
      <c r="CH293" s="465"/>
      <c r="CI293" s="465"/>
      <c r="CJ293" s="465"/>
      <c r="CK293" s="465"/>
      <c r="CL293" s="465"/>
      <c r="CM293" s="466"/>
      <c r="CN293" s="466"/>
      <c r="CO293" s="466"/>
      <c r="CP293" s="466"/>
      <c r="CQ293" s="466"/>
      <c r="CR293" s="466"/>
      <c r="CS293" s="466"/>
      <c r="CT293" s="466"/>
      <c r="CU293" s="466"/>
      <c r="CV293" s="466"/>
      <c r="CW293" s="466"/>
      <c r="CX293" s="466"/>
      <c r="CY293" s="466"/>
      <c r="CZ293" s="466"/>
      <c r="DA293" s="179"/>
      <c r="DB293" s="179"/>
      <c r="DC293" s="179"/>
      <c r="DD293" s="179"/>
      <c r="DE293" s="179"/>
    </row>
    <row r="294" spans="1:109" hidden="1">
      <c r="A294" s="194"/>
      <c r="B294" s="195" t="s">
        <v>24</v>
      </c>
      <c r="C294" s="217" t="s">
        <v>54</v>
      </c>
      <c r="D294" s="31"/>
      <c r="E294" s="31"/>
      <c r="F294" s="31"/>
      <c r="G294" s="31"/>
      <c r="H294" s="242"/>
      <c r="I294" s="242"/>
      <c r="J294" s="242"/>
      <c r="K294" s="242"/>
      <c r="L294" s="242"/>
      <c r="M294" s="134">
        <v>5.77</v>
      </c>
      <c r="N294" s="134"/>
      <c r="O294" s="134"/>
      <c r="P294" s="134"/>
      <c r="Q294" s="134"/>
      <c r="R294" s="134"/>
      <c r="S294" s="134"/>
      <c r="T294" s="134"/>
      <c r="U294" s="134"/>
      <c r="V294" s="134"/>
      <c r="W294" s="134">
        <v>5.77</v>
      </c>
      <c r="X294" s="242"/>
      <c r="Y294" s="155"/>
      <c r="Z294" s="242"/>
      <c r="AA294" s="134">
        <v>6.8599899999999998</v>
      </c>
      <c r="AB294" s="134"/>
      <c r="AC294" s="134"/>
      <c r="AD294" s="134"/>
      <c r="AE294" s="134"/>
      <c r="AF294" s="134"/>
      <c r="AG294" s="134"/>
      <c r="AH294" s="134"/>
      <c r="AI294" s="134"/>
      <c r="AJ294" s="242"/>
      <c r="AK294" s="156"/>
      <c r="AL294" s="242"/>
      <c r="AM294" s="134">
        <v>6.8599899999999998</v>
      </c>
      <c r="AN294" s="134"/>
      <c r="AO294" s="134"/>
      <c r="AP294" s="134"/>
      <c r="AQ294" s="134"/>
      <c r="AR294" s="134"/>
      <c r="AS294" s="134"/>
      <c r="AT294" s="134"/>
      <c r="AU294" s="134"/>
      <c r="AV294" s="242"/>
      <c r="AW294" s="156"/>
      <c r="AX294" s="108"/>
      <c r="AY294" s="31"/>
      <c r="AZ294" s="109"/>
      <c r="BA294" s="62"/>
      <c r="BB294" s="62"/>
      <c r="BC294" s="62"/>
      <c r="BD294" s="62"/>
      <c r="BE294" s="110"/>
      <c r="BF294" s="109"/>
      <c r="BG294" s="62"/>
      <c r="BH294" s="62">
        <f>AY294</f>
        <v>0</v>
      </c>
      <c r="BI294" s="110"/>
      <c r="BJ294" s="426">
        <f t="shared" si="143"/>
        <v>0</v>
      </c>
      <c r="BK294" s="427"/>
      <c r="BL294" s="560"/>
      <c r="BM294" s="149">
        <v>6.8599899999999998</v>
      </c>
      <c r="BN294" s="62"/>
      <c r="BO294" s="470"/>
      <c r="BP294" s="485"/>
      <c r="BQ294" s="483"/>
      <c r="BR294" s="486"/>
      <c r="BS294" s="487"/>
      <c r="BT294" s="485"/>
      <c r="BU294" s="483"/>
      <c r="BV294" s="486"/>
      <c r="BW294" s="487"/>
      <c r="BX294" s="440"/>
      <c r="BY294" s="488"/>
      <c r="BZ294" s="489">
        <f>M294+BM294+BQ294+BU294</f>
        <v>12.629989999999999</v>
      </c>
      <c r="CA294" s="490"/>
      <c r="CB294" s="491"/>
      <c r="CC294" s="72">
        <f t="shared" si="141"/>
        <v>12.629989999999999</v>
      </c>
      <c r="CD294" s="562"/>
      <c r="CE294" s="561"/>
      <c r="CF294" s="492">
        <v>68.67</v>
      </c>
      <c r="CG294" s="74"/>
      <c r="CH294" s="74"/>
      <c r="CI294" s="74"/>
      <c r="CJ294" s="74"/>
      <c r="CK294" s="74"/>
      <c r="CL294" s="74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31"/>
      <c r="DB294" s="31"/>
      <c r="DC294" s="31"/>
      <c r="DD294" s="31"/>
      <c r="DE294" s="31"/>
    </row>
    <row r="295" spans="1:109" hidden="1">
      <c r="A295" s="194"/>
      <c r="B295" s="195" t="s">
        <v>42</v>
      </c>
      <c r="C295" s="217" t="s">
        <v>54</v>
      </c>
      <c r="D295" s="111"/>
      <c r="E295" s="111"/>
      <c r="F295" s="111"/>
      <c r="G295" s="111"/>
      <c r="H295" s="286"/>
      <c r="I295" s="286"/>
      <c r="J295" s="286"/>
      <c r="K295" s="286"/>
      <c r="L295" s="286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286"/>
      <c r="Y295" s="157"/>
      <c r="Z295" s="286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286"/>
      <c r="AK295" s="158"/>
      <c r="AL295" s="286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286"/>
      <c r="AW295" s="158"/>
      <c r="AX295" s="287"/>
      <c r="AY295" s="144"/>
      <c r="AZ295" s="149"/>
      <c r="BA295" s="150"/>
      <c r="BB295" s="150"/>
      <c r="BC295" s="150"/>
      <c r="BD295" s="150"/>
      <c r="BE295" s="151"/>
      <c r="BF295" s="149"/>
      <c r="BG295" s="150"/>
      <c r="BH295" s="150"/>
      <c r="BI295" s="151"/>
      <c r="BJ295" s="435">
        <f t="shared" si="143"/>
        <v>0</v>
      </c>
      <c r="BK295" s="436"/>
      <c r="BL295" s="640"/>
      <c r="BM295" s="149"/>
      <c r="BN295" s="150"/>
      <c r="BO295" s="484"/>
      <c r="BP295" s="485"/>
      <c r="BQ295" s="483"/>
      <c r="BR295" s="486"/>
      <c r="BS295" s="487"/>
      <c r="BT295" s="485"/>
      <c r="BU295" s="483"/>
      <c r="BV295" s="486"/>
      <c r="BW295" s="487"/>
      <c r="BX295" s="440"/>
      <c r="BY295" s="488"/>
      <c r="BZ295" s="489">
        <f>M295+BM295+BQ295+BU295</f>
        <v>0</v>
      </c>
      <c r="CA295" s="490"/>
      <c r="CB295" s="491"/>
      <c r="CC295" s="246">
        <f t="shared" si="141"/>
        <v>0</v>
      </c>
      <c r="CD295" s="581"/>
      <c r="CE295" s="582"/>
      <c r="CF295" s="492">
        <v>0.57999999999999996</v>
      </c>
      <c r="CG295" s="74"/>
      <c r="CH295" s="74"/>
      <c r="CI295" s="74"/>
      <c r="CJ295" s="74"/>
      <c r="CK295" s="74"/>
      <c r="CL295" s="74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  <c r="CZ295" s="75"/>
      <c r="DA295" s="144"/>
      <c r="DB295" s="144"/>
      <c r="DC295" s="111"/>
      <c r="DD295" s="111"/>
      <c r="DE295" s="111"/>
    </row>
    <row r="296" spans="1:109" hidden="1">
      <c r="A296" s="208" t="s">
        <v>274</v>
      </c>
      <c r="B296" s="160" t="s">
        <v>288</v>
      </c>
      <c r="C296" s="397" t="s">
        <v>54</v>
      </c>
      <c r="D296" s="117">
        <f>D306</f>
        <v>0</v>
      </c>
      <c r="E296" s="117">
        <f>E306</f>
        <v>0</v>
      </c>
      <c r="F296" s="117">
        <f>F306</f>
        <v>0</v>
      </c>
      <c r="G296" s="117">
        <f>G306</f>
        <v>0</v>
      </c>
      <c r="H296" s="117">
        <f t="shared" ref="H296:O296" si="144">H306+H308+H322+H327</f>
        <v>457.05</v>
      </c>
      <c r="I296" s="117">
        <f t="shared" si="144"/>
        <v>121.49</v>
      </c>
      <c r="J296" s="117">
        <f t="shared" si="144"/>
        <v>31.59</v>
      </c>
      <c r="K296" s="117">
        <f t="shared" si="144"/>
        <v>89.9</v>
      </c>
      <c r="L296" s="117">
        <f t="shared" si="144"/>
        <v>55.645000000000003</v>
      </c>
      <c r="M296" s="118">
        <f t="shared" si="144"/>
        <v>69.072520000000011</v>
      </c>
      <c r="N296" s="118">
        <f t="shared" si="144"/>
        <v>43.96</v>
      </c>
      <c r="O296" s="118">
        <f t="shared" si="144"/>
        <v>57.39</v>
      </c>
      <c r="P296" s="118">
        <v>4.3899999999999997</v>
      </c>
      <c r="Q296" s="118"/>
      <c r="R296" s="118">
        <v>11.68</v>
      </c>
      <c r="S296" s="118">
        <f>S306+S308+S322+S327</f>
        <v>3.04</v>
      </c>
      <c r="T296" s="118">
        <f>T306+T308+T322+T327</f>
        <v>8.6479999999999997</v>
      </c>
      <c r="U296" s="118">
        <f>U306+U308+U322+U327</f>
        <v>8.65</v>
      </c>
      <c r="V296" s="118"/>
      <c r="W296" s="118"/>
      <c r="X296" s="118">
        <f>O296-N296</f>
        <v>13.43</v>
      </c>
      <c r="Y296" s="119">
        <f>O296/N296</f>
        <v>1.3055050045495906</v>
      </c>
      <c r="Z296" s="117">
        <f t="shared" ref="Z296:AG296" si="145">Z306+Z308+Z322+Z327</f>
        <v>55.65</v>
      </c>
      <c r="AA296" s="118">
        <f t="shared" si="145"/>
        <v>57.059999999999995</v>
      </c>
      <c r="AB296" s="118">
        <f t="shared" si="145"/>
        <v>43.96</v>
      </c>
      <c r="AC296" s="118">
        <f t="shared" si="145"/>
        <v>0</v>
      </c>
      <c r="AD296" s="118">
        <f t="shared" si="145"/>
        <v>3.04</v>
      </c>
      <c r="AE296" s="118">
        <f t="shared" si="145"/>
        <v>0</v>
      </c>
      <c r="AF296" s="118">
        <f t="shared" si="145"/>
        <v>8.65</v>
      </c>
      <c r="AG296" s="118">
        <f t="shared" si="145"/>
        <v>0</v>
      </c>
      <c r="AH296" s="118"/>
      <c r="AI296" s="118"/>
      <c r="AJ296" s="118">
        <f>AC296-AB296</f>
        <v>-43.96</v>
      </c>
      <c r="AK296" s="120">
        <f>AC296/AB296</f>
        <v>0</v>
      </c>
      <c r="AL296" s="117">
        <f t="shared" ref="AL296:AS296" si="146">AL306+AL308+AL322+AL327</f>
        <v>55.65</v>
      </c>
      <c r="AM296" s="118">
        <f t="shared" si="146"/>
        <v>57.059999999999995</v>
      </c>
      <c r="AN296" s="118">
        <f t="shared" si="146"/>
        <v>43.96</v>
      </c>
      <c r="AO296" s="118">
        <f t="shared" si="146"/>
        <v>0</v>
      </c>
      <c r="AP296" s="118">
        <f t="shared" si="146"/>
        <v>3.04</v>
      </c>
      <c r="AQ296" s="118">
        <f t="shared" si="146"/>
        <v>0</v>
      </c>
      <c r="AR296" s="118">
        <f t="shared" si="146"/>
        <v>8.65</v>
      </c>
      <c r="AS296" s="118">
        <f t="shared" si="146"/>
        <v>0</v>
      </c>
      <c r="AT296" s="118"/>
      <c r="AU296" s="118"/>
      <c r="AV296" s="118">
        <f>AO296-AN296</f>
        <v>-43.96</v>
      </c>
      <c r="AW296" s="120">
        <f>AO296/AN296</f>
        <v>0</v>
      </c>
      <c r="AX296" s="117">
        <f>AX306</f>
        <v>308.88</v>
      </c>
      <c r="AY296" s="117">
        <v>0</v>
      </c>
      <c r="AZ296" s="288">
        <f>AZ306+AZ308+AZ322+AZ327</f>
        <v>0</v>
      </c>
      <c r="BA296" s="289">
        <f t="shared" ref="BA296:BI296" si="147">SUM(BA297,BA299,BA302,BA306,BA308,BA317,BA322,BA325,BA327)</f>
        <v>-130.85</v>
      </c>
      <c r="BB296" s="289">
        <f t="shared" si="147"/>
        <v>0</v>
      </c>
      <c r="BC296" s="289">
        <f t="shared" si="147"/>
        <v>130.85</v>
      </c>
      <c r="BD296" s="289">
        <f t="shared" si="147"/>
        <v>0</v>
      </c>
      <c r="BE296" s="290">
        <f t="shared" si="147"/>
        <v>0</v>
      </c>
      <c r="BF296" s="288">
        <f t="shared" si="147"/>
        <v>0</v>
      </c>
      <c r="BG296" s="289">
        <f t="shared" si="147"/>
        <v>0</v>
      </c>
      <c r="BH296" s="289">
        <f t="shared" si="147"/>
        <v>0</v>
      </c>
      <c r="BI296" s="290">
        <f t="shared" si="147"/>
        <v>0</v>
      </c>
      <c r="BJ296" s="288">
        <f t="shared" si="143"/>
        <v>-130.85</v>
      </c>
      <c r="BK296" s="413" t="e">
        <f>BA296/AZ296</f>
        <v>#DIV/0!</v>
      </c>
      <c r="BL296" s="618"/>
      <c r="BM296" s="121">
        <f>BM306+BM308+BM322+BM327</f>
        <v>57.061379999999993</v>
      </c>
      <c r="BN296" s="122"/>
      <c r="BO296" s="409"/>
      <c r="BP296" s="448"/>
      <c r="BQ296" s="516"/>
      <c r="BR296" s="517"/>
      <c r="BS296" s="518"/>
      <c r="BT296" s="448"/>
      <c r="BU296" s="516"/>
      <c r="BV296" s="517"/>
      <c r="BW296" s="518"/>
      <c r="BX296" s="411">
        <v>883.07</v>
      </c>
      <c r="BY296" s="449">
        <f>F296</f>
        <v>0</v>
      </c>
      <c r="BZ296" s="209">
        <f>M296+BM296+BQ296+BU296</f>
        <v>126.13390000000001</v>
      </c>
      <c r="CA296" s="516">
        <f>BZ296-BY296</f>
        <v>126.13390000000001</v>
      </c>
      <c r="CB296" s="515" t="e">
        <f>BZ296/BY296</f>
        <v>#DIV/0!</v>
      </c>
      <c r="CC296" s="219">
        <f t="shared" si="141"/>
        <v>126.13390000000001</v>
      </c>
      <c r="CD296" s="415">
        <f>SUM(CD307:CD328)</f>
        <v>936.8499999999998</v>
      </c>
      <c r="CE296" s="122">
        <f>SUM(CE307:CE328)</f>
        <v>0</v>
      </c>
      <c r="CF296" s="519">
        <v>0</v>
      </c>
      <c r="CG296" s="450"/>
      <c r="CH296" s="450"/>
      <c r="CI296" s="450"/>
      <c r="CJ296" s="450"/>
      <c r="CK296" s="450"/>
      <c r="CL296" s="450"/>
      <c r="CM296" s="451"/>
      <c r="CN296" s="451"/>
      <c r="CO296" s="451"/>
      <c r="CP296" s="451"/>
      <c r="CQ296" s="451"/>
      <c r="CR296" s="451"/>
      <c r="CS296" s="451"/>
      <c r="CT296" s="451"/>
      <c r="CU296" s="451"/>
      <c r="CV296" s="451"/>
      <c r="CW296" s="451"/>
      <c r="CX296" s="451"/>
      <c r="CY296" s="451"/>
      <c r="CZ296" s="451"/>
      <c r="DA296" s="117">
        <f>DA306+DA308+DA322+DA327+DA299+DA302+DA317+DA297+DA325</f>
        <v>0</v>
      </c>
      <c r="DB296" s="117">
        <f>DB306+DB308+DB322+DB327+DB299+DB302+DB317+DB297+DB325</f>
        <v>0</v>
      </c>
      <c r="DC296" s="117">
        <f>DC306</f>
        <v>0</v>
      </c>
      <c r="DD296" s="117">
        <f>DD306</f>
        <v>0</v>
      </c>
      <c r="DE296" s="117">
        <f>DE306</f>
        <v>0</v>
      </c>
    </row>
    <row r="297" spans="1:109" ht="36" hidden="1">
      <c r="A297" s="291" t="s">
        <v>148</v>
      </c>
      <c r="B297" s="292" t="s">
        <v>135</v>
      </c>
      <c r="C297" s="223" t="s">
        <v>54</v>
      </c>
      <c r="D297" s="168"/>
      <c r="E297" s="168"/>
      <c r="F297" s="168"/>
      <c r="G297" s="168"/>
      <c r="H297" s="169"/>
      <c r="I297" s="169"/>
      <c r="J297" s="169"/>
      <c r="K297" s="169"/>
      <c r="L297" s="169"/>
      <c r="M297" s="294"/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  <c r="X297" s="294"/>
      <c r="Y297" s="280"/>
      <c r="Z297" s="169"/>
      <c r="AA297" s="294"/>
      <c r="AB297" s="294"/>
      <c r="AC297" s="294"/>
      <c r="AD297" s="294"/>
      <c r="AE297" s="294"/>
      <c r="AF297" s="294"/>
      <c r="AG297" s="294"/>
      <c r="AH297" s="294"/>
      <c r="AI297" s="294"/>
      <c r="AJ297" s="294"/>
      <c r="AK297" s="281"/>
      <c r="AL297" s="169"/>
      <c r="AM297" s="294"/>
      <c r="AN297" s="294"/>
      <c r="AO297" s="294"/>
      <c r="AP297" s="294"/>
      <c r="AQ297" s="294"/>
      <c r="AR297" s="294"/>
      <c r="AS297" s="294"/>
      <c r="AT297" s="294"/>
      <c r="AU297" s="294"/>
      <c r="AV297" s="294"/>
      <c r="AW297" s="281"/>
      <c r="AX297" s="173"/>
      <c r="AY297" s="295"/>
      <c r="AZ297" s="296"/>
      <c r="BA297" s="297"/>
      <c r="BB297" s="297"/>
      <c r="BC297" s="297"/>
      <c r="BD297" s="297"/>
      <c r="BE297" s="298"/>
      <c r="BF297" s="296"/>
      <c r="BG297" s="297"/>
      <c r="BH297" s="297"/>
      <c r="BI297" s="298">
        <f>SUM(BI298:BI298)</f>
        <v>0</v>
      </c>
      <c r="BJ297" s="641"/>
      <c r="BK297" s="10"/>
      <c r="BL297" s="642"/>
      <c r="BM297" s="624"/>
      <c r="BN297" s="643"/>
      <c r="BO297" s="644"/>
      <c r="BP297" s="625"/>
      <c r="BQ297" s="626"/>
      <c r="BR297" s="645"/>
      <c r="BS297" s="628"/>
      <c r="BT297" s="625"/>
      <c r="BU297" s="626"/>
      <c r="BV297" s="645"/>
      <c r="BW297" s="628"/>
      <c r="BX297" s="629"/>
      <c r="BY297" s="630"/>
      <c r="BZ297" s="631"/>
      <c r="CA297" s="626"/>
      <c r="CB297" s="633"/>
      <c r="CC297" s="22"/>
      <c r="CD297" s="646"/>
      <c r="CE297" s="643"/>
      <c r="CF297" s="636"/>
      <c r="CG297" s="647"/>
      <c r="CH297" s="647"/>
      <c r="CI297" s="647"/>
      <c r="CJ297" s="647"/>
      <c r="CK297" s="647"/>
      <c r="CL297" s="647"/>
      <c r="CM297" s="648"/>
      <c r="CN297" s="648"/>
      <c r="CO297" s="648"/>
      <c r="CP297" s="648"/>
      <c r="CQ297" s="648"/>
      <c r="CR297" s="648"/>
      <c r="CS297" s="648"/>
      <c r="CT297" s="648"/>
      <c r="CU297" s="648"/>
      <c r="CV297" s="648"/>
      <c r="CW297" s="648"/>
      <c r="CX297" s="648"/>
      <c r="CY297" s="648"/>
      <c r="CZ297" s="648"/>
      <c r="DA297" s="295"/>
      <c r="DB297" s="295"/>
      <c r="DC297" s="168"/>
      <c r="DD297" s="168"/>
      <c r="DE297" s="168"/>
    </row>
    <row r="298" spans="1:109" hidden="1">
      <c r="A298" s="37"/>
      <c r="B298" s="1" t="s">
        <v>234</v>
      </c>
      <c r="C298" s="49" t="s">
        <v>54</v>
      </c>
      <c r="D298" s="31"/>
      <c r="E298" s="31"/>
      <c r="F298" s="31"/>
      <c r="G298" s="31"/>
      <c r="H298" s="3"/>
      <c r="I298" s="3"/>
      <c r="J298" s="3"/>
      <c r="K298" s="3"/>
      <c r="L298" s="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5"/>
      <c r="Z298" s="3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6"/>
      <c r="AL298" s="3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6"/>
      <c r="AX298" s="31"/>
      <c r="AY298" s="90"/>
      <c r="AZ298" s="86"/>
      <c r="BA298" s="40"/>
      <c r="BB298" s="40"/>
      <c r="BC298" s="40"/>
      <c r="BD298" s="40"/>
      <c r="BE298" s="41"/>
      <c r="BF298" s="86"/>
      <c r="BG298" s="40"/>
      <c r="BH298" s="40"/>
      <c r="BI298" s="41">
        <f>AY298</f>
        <v>0</v>
      </c>
      <c r="BJ298" s="9"/>
      <c r="BK298" s="10"/>
      <c r="BL298" s="11"/>
      <c r="BM298" s="2"/>
      <c r="BN298" s="12"/>
      <c r="BO298" s="13"/>
      <c r="BP298" s="14"/>
      <c r="BQ298" s="15"/>
      <c r="BR298" s="16"/>
      <c r="BS298" s="17"/>
      <c r="BT298" s="14"/>
      <c r="BU298" s="15"/>
      <c r="BV298" s="16"/>
      <c r="BW298" s="17"/>
      <c r="BX298" s="18"/>
      <c r="BY298" s="19"/>
      <c r="BZ298" s="20"/>
      <c r="CA298" s="15"/>
      <c r="CB298" s="21"/>
      <c r="CC298" s="22"/>
      <c r="CD298" s="23"/>
      <c r="CE298" s="12"/>
      <c r="CF298" s="24"/>
      <c r="CG298" s="25"/>
      <c r="CH298" s="25"/>
      <c r="CI298" s="25"/>
      <c r="CJ298" s="25"/>
      <c r="CK298" s="25"/>
      <c r="CL298" s="25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90"/>
      <c r="DB298" s="90"/>
      <c r="DC298" s="31"/>
      <c r="DD298" s="31"/>
      <c r="DE298" s="31"/>
    </row>
    <row r="299" spans="1:109" hidden="1">
      <c r="A299" s="299" t="s">
        <v>148</v>
      </c>
      <c r="B299" s="300" t="s">
        <v>123</v>
      </c>
      <c r="C299" s="301" t="s">
        <v>54</v>
      </c>
      <c r="D299" s="179"/>
      <c r="E299" s="179"/>
      <c r="F299" s="179"/>
      <c r="G299" s="179"/>
      <c r="H299" s="169"/>
      <c r="I299" s="169"/>
      <c r="J299" s="169"/>
      <c r="K299" s="169"/>
      <c r="L299" s="169"/>
      <c r="M299" s="294"/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  <c r="X299" s="294"/>
      <c r="Y299" s="280"/>
      <c r="Z299" s="169"/>
      <c r="AA299" s="294"/>
      <c r="AB299" s="294"/>
      <c r="AC299" s="294"/>
      <c r="AD299" s="294"/>
      <c r="AE299" s="294"/>
      <c r="AF299" s="294"/>
      <c r="AG299" s="294"/>
      <c r="AH299" s="294"/>
      <c r="AI299" s="294"/>
      <c r="AJ299" s="294"/>
      <c r="AK299" s="281"/>
      <c r="AL299" s="169"/>
      <c r="AM299" s="294"/>
      <c r="AN299" s="294"/>
      <c r="AO299" s="294"/>
      <c r="AP299" s="294"/>
      <c r="AQ299" s="294"/>
      <c r="AR299" s="294"/>
      <c r="AS299" s="294"/>
      <c r="AT299" s="294"/>
      <c r="AU299" s="294"/>
      <c r="AV299" s="294"/>
      <c r="AW299" s="281"/>
      <c r="AX299" s="173"/>
      <c r="AY299" s="302"/>
      <c r="AZ299" s="303"/>
      <c r="BA299" s="304"/>
      <c r="BB299" s="304"/>
      <c r="BC299" s="304"/>
      <c r="BD299" s="304"/>
      <c r="BE299" s="305"/>
      <c r="BF299" s="303"/>
      <c r="BG299" s="304"/>
      <c r="BH299" s="304"/>
      <c r="BI299" s="305">
        <f>SUM(BI300:BI301)</f>
        <v>0</v>
      </c>
      <c r="BJ299" s="641"/>
      <c r="BK299" s="10"/>
      <c r="BL299" s="642"/>
      <c r="BM299" s="624"/>
      <c r="BN299" s="643"/>
      <c r="BO299" s="644"/>
      <c r="BP299" s="625"/>
      <c r="BQ299" s="626"/>
      <c r="BR299" s="645"/>
      <c r="BS299" s="628"/>
      <c r="BT299" s="625"/>
      <c r="BU299" s="626"/>
      <c r="BV299" s="645"/>
      <c r="BW299" s="628"/>
      <c r="BX299" s="629"/>
      <c r="BY299" s="630"/>
      <c r="BZ299" s="631"/>
      <c r="CA299" s="626"/>
      <c r="CB299" s="633"/>
      <c r="CC299" s="22"/>
      <c r="CD299" s="646"/>
      <c r="CE299" s="643"/>
      <c r="CF299" s="636"/>
      <c r="CG299" s="647"/>
      <c r="CH299" s="647"/>
      <c r="CI299" s="647"/>
      <c r="CJ299" s="647"/>
      <c r="CK299" s="647"/>
      <c r="CL299" s="647"/>
      <c r="CM299" s="648"/>
      <c r="CN299" s="648"/>
      <c r="CO299" s="648"/>
      <c r="CP299" s="648"/>
      <c r="CQ299" s="648"/>
      <c r="CR299" s="648"/>
      <c r="CS299" s="648"/>
      <c r="CT299" s="648"/>
      <c r="CU299" s="648"/>
      <c r="CV299" s="648"/>
      <c r="CW299" s="648"/>
      <c r="CX299" s="648"/>
      <c r="CY299" s="648"/>
      <c r="CZ299" s="648"/>
      <c r="DA299" s="302"/>
      <c r="DB299" s="302"/>
      <c r="DC299" s="179"/>
      <c r="DD299" s="179"/>
      <c r="DE299" s="179"/>
    </row>
    <row r="300" spans="1:109" hidden="1">
      <c r="A300" s="37"/>
      <c r="B300" s="1" t="s">
        <v>125</v>
      </c>
      <c r="C300" s="49" t="s">
        <v>54</v>
      </c>
      <c r="D300" s="31"/>
      <c r="E300" s="31"/>
      <c r="F300" s="31"/>
      <c r="G300" s="31"/>
      <c r="H300" s="3"/>
      <c r="I300" s="3"/>
      <c r="J300" s="3"/>
      <c r="K300" s="3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5"/>
      <c r="Z300" s="3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6"/>
      <c r="AL300" s="3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6"/>
      <c r="AX300" s="31"/>
      <c r="AY300" s="91"/>
      <c r="AZ300" s="87"/>
      <c r="BA300" s="7"/>
      <c r="BB300" s="7"/>
      <c r="BC300" s="7"/>
      <c r="BD300" s="7"/>
      <c r="BE300" s="8"/>
      <c r="BF300" s="87"/>
      <c r="BG300" s="7"/>
      <c r="BH300" s="7"/>
      <c r="BI300" s="8">
        <f>AY300</f>
        <v>0</v>
      </c>
      <c r="BJ300" s="9"/>
      <c r="BK300" s="10"/>
      <c r="BL300" s="11"/>
      <c r="BM300" s="2"/>
      <c r="BN300" s="12"/>
      <c r="BO300" s="13"/>
      <c r="BP300" s="14"/>
      <c r="BQ300" s="15"/>
      <c r="BR300" s="16"/>
      <c r="BS300" s="17"/>
      <c r="BT300" s="14"/>
      <c r="BU300" s="15"/>
      <c r="BV300" s="16"/>
      <c r="BW300" s="17"/>
      <c r="BX300" s="18"/>
      <c r="BY300" s="19"/>
      <c r="BZ300" s="20"/>
      <c r="CA300" s="15"/>
      <c r="CB300" s="21"/>
      <c r="CC300" s="22"/>
      <c r="CD300" s="23"/>
      <c r="CE300" s="12"/>
      <c r="CF300" s="24"/>
      <c r="CG300" s="25"/>
      <c r="CH300" s="25"/>
      <c r="CI300" s="25"/>
      <c r="CJ300" s="25"/>
      <c r="CK300" s="25"/>
      <c r="CL300" s="25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91"/>
      <c r="DB300" s="91"/>
      <c r="DC300" s="31"/>
      <c r="DD300" s="31"/>
      <c r="DE300" s="31"/>
    </row>
    <row r="301" spans="1:109" hidden="1">
      <c r="A301" s="37"/>
      <c r="B301" s="1" t="s">
        <v>132</v>
      </c>
      <c r="C301" s="49" t="s">
        <v>54</v>
      </c>
      <c r="D301" s="31"/>
      <c r="E301" s="31"/>
      <c r="F301" s="31"/>
      <c r="G301" s="31"/>
      <c r="H301" s="3"/>
      <c r="I301" s="3"/>
      <c r="J301" s="3"/>
      <c r="K301" s="3"/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5"/>
      <c r="Z301" s="3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6"/>
      <c r="AL301" s="3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6"/>
      <c r="AX301" s="31"/>
      <c r="AY301" s="91"/>
      <c r="AZ301" s="87"/>
      <c r="BA301" s="7"/>
      <c r="BB301" s="7"/>
      <c r="BC301" s="7"/>
      <c r="BD301" s="7"/>
      <c r="BE301" s="8"/>
      <c r="BF301" s="87"/>
      <c r="BG301" s="7"/>
      <c r="BH301" s="7"/>
      <c r="BI301" s="8">
        <f>AY301</f>
        <v>0</v>
      </c>
      <c r="BJ301" s="9"/>
      <c r="BK301" s="10"/>
      <c r="BL301" s="11"/>
      <c r="BM301" s="2"/>
      <c r="BN301" s="12"/>
      <c r="BO301" s="13"/>
      <c r="BP301" s="14"/>
      <c r="BQ301" s="15"/>
      <c r="BR301" s="16"/>
      <c r="BS301" s="17"/>
      <c r="BT301" s="14"/>
      <c r="BU301" s="15"/>
      <c r="BV301" s="16"/>
      <c r="BW301" s="17"/>
      <c r="BX301" s="18"/>
      <c r="BY301" s="19"/>
      <c r="BZ301" s="20"/>
      <c r="CA301" s="15"/>
      <c r="CB301" s="21"/>
      <c r="CC301" s="22"/>
      <c r="CD301" s="23"/>
      <c r="CE301" s="12"/>
      <c r="CF301" s="24"/>
      <c r="CG301" s="25"/>
      <c r="CH301" s="25"/>
      <c r="CI301" s="25"/>
      <c r="CJ301" s="25"/>
      <c r="CK301" s="25"/>
      <c r="CL301" s="25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91"/>
      <c r="DB301" s="91"/>
      <c r="DC301" s="31"/>
      <c r="DD301" s="31"/>
      <c r="DE301" s="31"/>
    </row>
    <row r="302" spans="1:109" hidden="1">
      <c r="A302" s="299" t="s">
        <v>149</v>
      </c>
      <c r="B302" s="300" t="s">
        <v>124</v>
      </c>
      <c r="C302" s="306" t="s">
        <v>54</v>
      </c>
      <c r="D302" s="179"/>
      <c r="E302" s="179"/>
      <c r="F302" s="179"/>
      <c r="G302" s="179"/>
      <c r="H302" s="169"/>
      <c r="I302" s="169"/>
      <c r="J302" s="169"/>
      <c r="K302" s="169"/>
      <c r="L302" s="169"/>
      <c r="M302" s="294"/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  <c r="X302" s="294"/>
      <c r="Y302" s="280"/>
      <c r="Z302" s="169"/>
      <c r="AA302" s="294"/>
      <c r="AB302" s="294"/>
      <c r="AC302" s="294"/>
      <c r="AD302" s="294"/>
      <c r="AE302" s="294"/>
      <c r="AF302" s="294"/>
      <c r="AG302" s="294"/>
      <c r="AH302" s="294"/>
      <c r="AI302" s="294"/>
      <c r="AJ302" s="294"/>
      <c r="AK302" s="281"/>
      <c r="AL302" s="169"/>
      <c r="AM302" s="294"/>
      <c r="AN302" s="294"/>
      <c r="AO302" s="294"/>
      <c r="AP302" s="294"/>
      <c r="AQ302" s="294"/>
      <c r="AR302" s="294"/>
      <c r="AS302" s="294"/>
      <c r="AT302" s="294"/>
      <c r="AU302" s="294"/>
      <c r="AV302" s="294"/>
      <c r="AW302" s="281"/>
      <c r="AX302" s="179"/>
      <c r="AY302" s="302"/>
      <c r="AZ302" s="303"/>
      <c r="BA302" s="304"/>
      <c r="BB302" s="304"/>
      <c r="BC302" s="304"/>
      <c r="BD302" s="304"/>
      <c r="BE302" s="305"/>
      <c r="BF302" s="303"/>
      <c r="BG302" s="304"/>
      <c r="BH302" s="304"/>
      <c r="BI302" s="305">
        <f>SUM(BI305)</f>
        <v>0</v>
      </c>
      <c r="BJ302" s="641"/>
      <c r="BK302" s="10"/>
      <c r="BL302" s="649"/>
      <c r="BM302" s="624"/>
      <c r="BN302" s="643"/>
      <c r="BO302" s="644"/>
      <c r="BP302" s="625"/>
      <c r="BQ302" s="626"/>
      <c r="BR302" s="645"/>
      <c r="BS302" s="628"/>
      <c r="BT302" s="625"/>
      <c r="BU302" s="626"/>
      <c r="BV302" s="645"/>
      <c r="BW302" s="628"/>
      <c r="BX302" s="629"/>
      <c r="BY302" s="630"/>
      <c r="BZ302" s="631"/>
      <c r="CA302" s="626"/>
      <c r="CB302" s="633"/>
      <c r="CC302" s="22"/>
      <c r="CD302" s="646"/>
      <c r="CE302" s="643"/>
      <c r="CF302" s="636"/>
      <c r="CG302" s="647"/>
      <c r="CH302" s="647"/>
      <c r="CI302" s="647"/>
      <c r="CJ302" s="647"/>
      <c r="CK302" s="647"/>
      <c r="CL302" s="647"/>
      <c r="CM302" s="648"/>
      <c r="CN302" s="648"/>
      <c r="CO302" s="648"/>
      <c r="CP302" s="648"/>
      <c r="CQ302" s="648"/>
      <c r="CR302" s="648"/>
      <c r="CS302" s="648"/>
      <c r="CT302" s="648"/>
      <c r="CU302" s="648"/>
      <c r="CV302" s="648"/>
      <c r="CW302" s="648"/>
      <c r="CX302" s="648"/>
      <c r="CY302" s="648"/>
      <c r="CZ302" s="648"/>
      <c r="DA302" s="302"/>
      <c r="DB302" s="302"/>
      <c r="DC302" s="179"/>
      <c r="DD302" s="179"/>
      <c r="DE302" s="179"/>
    </row>
    <row r="303" spans="1:109" ht="24" hidden="1">
      <c r="A303" s="37"/>
      <c r="B303" s="1" t="s">
        <v>126</v>
      </c>
      <c r="C303" s="49" t="s">
        <v>54</v>
      </c>
      <c r="D303" s="31"/>
      <c r="E303" s="31"/>
      <c r="F303" s="31"/>
      <c r="G303" s="31"/>
      <c r="H303" s="3"/>
      <c r="I303" s="3"/>
      <c r="J303" s="3"/>
      <c r="K303" s="3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5"/>
      <c r="Z303" s="3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6"/>
      <c r="AL303" s="3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6"/>
      <c r="AX303" s="31"/>
      <c r="AY303" s="91"/>
      <c r="AZ303" s="87"/>
      <c r="BA303" s="7"/>
      <c r="BB303" s="7"/>
      <c r="BC303" s="7"/>
      <c r="BD303" s="7"/>
      <c r="BE303" s="8"/>
      <c r="BF303" s="87"/>
      <c r="BG303" s="7"/>
      <c r="BH303" s="7"/>
      <c r="BI303" s="8">
        <f>AY303</f>
        <v>0</v>
      </c>
      <c r="BJ303" s="9"/>
      <c r="BK303" s="10"/>
      <c r="BL303" s="11"/>
      <c r="BM303" s="2"/>
      <c r="BN303" s="12"/>
      <c r="BO303" s="13"/>
      <c r="BP303" s="14"/>
      <c r="BQ303" s="15"/>
      <c r="BR303" s="16"/>
      <c r="BS303" s="17"/>
      <c r="BT303" s="14"/>
      <c r="BU303" s="15"/>
      <c r="BV303" s="16"/>
      <c r="BW303" s="17"/>
      <c r="BX303" s="18"/>
      <c r="BY303" s="19"/>
      <c r="BZ303" s="20"/>
      <c r="CA303" s="15"/>
      <c r="CB303" s="21"/>
      <c r="CC303" s="22"/>
      <c r="CD303" s="23"/>
      <c r="CE303" s="12"/>
      <c r="CF303" s="24"/>
      <c r="CG303" s="25"/>
      <c r="CH303" s="25"/>
      <c r="CI303" s="25"/>
      <c r="CJ303" s="25"/>
      <c r="CK303" s="25"/>
      <c r="CL303" s="25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91"/>
      <c r="DB303" s="91"/>
      <c r="DC303" s="31"/>
      <c r="DD303" s="31"/>
      <c r="DE303" s="31"/>
    </row>
    <row r="304" spans="1:109" hidden="1">
      <c r="A304" s="38"/>
      <c r="B304" s="32" t="s">
        <v>132</v>
      </c>
      <c r="C304" s="49" t="s">
        <v>54</v>
      </c>
      <c r="D304" s="31"/>
      <c r="E304" s="31"/>
      <c r="F304" s="31"/>
      <c r="G304" s="31"/>
      <c r="H304" s="3"/>
      <c r="I304" s="3"/>
      <c r="J304" s="3"/>
      <c r="K304" s="3"/>
      <c r="L304" s="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5"/>
      <c r="Z304" s="3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6"/>
      <c r="AL304" s="3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6"/>
      <c r="AX304" s="33"/>
      <c r="AY304" s="92"/>
      <c r="AZ304" s="88"/>
      <c r="BA304" s="34"/>
      <c r="BB304" s="34"/>
      <c r="BC304" s="34"/>
      <c r="BD304" s="34"/>
      <c r="BE304" s="35"/>
      <c r="BF304" s="88"/>
      <c r="BG304" s="34"/>
      <c r="BH304" s="34"/>
      <c r="BI304" s="35">
        <f>AY304</f>
        <v>0</v>
      </c>
      <c r="BJ304" s="9"/>
      <c r="BK304" s="10"/>
      <c r="BL304" s="36"/>
      <c r="BM304" s="2"/>
      <c r="BN304" s="12"/>
      <c r="BO304" s="13"/>
      <c r="BP304" s="14"/>
      <c r="BQ304" s="15"/>
      <c r="BR304" s="16"/>
      <c r="BS304" s="17"/>
      <c r="BT304" s="14"/>
      <c r="BU304" s="15"/>
      <c r="BV304" s="16"/>
      <c r="BW304" s="17"/>
      <c r="BX304" s="18"/>
      <c r="BY304" s="19"/>
      <c r="BZ304" s="20"/>
      <c r="CA304" s="15"/>
      <c r="CB304" s="21"/>
      <c r="CC304" s="22"/>
      <c r="CD304" s="23"/>
      <c r="CE304" s="12"/>
      <c r="CF304" s="24"/>
      <c r="CG304" s="25"/>
      <c r="CH304" s="25"/>
      <c r="CI304" s="25"/>
      <c r="CJ304" s="25"/>
      <c r="CK304" s="25"/>
      <c r="CL304" s="25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92"/>
      <c r="DB304" s="92"/>
      <c r="DC304" s="31"/>
      <c r="DD304" s="31"/>
      <c r="DE304" s="31"/>
    </row>
    <row r="305" spans="1:109" hidden="1">
      <c r="A305" s="38"/>
      <c r="B305" s="32" t="s">
        <v>132</v>
      </c>
      <c r="C305" s="97"/>
      <c r="D305" s="31"/>
      <c r="E305" s="31"/>
      <c r="F305" s="31"/>
      <c r="G305" s="31"/>
      <c r="H305" s="3"/>
      <c r="I305" s="3"/>
      <c r="J305" s="3"/>
      <c r="K305" s="3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5"/>
      <c r="Z305" s="3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6"/>
      <c r="AL305" s="3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6"/>
      <c r="AX305" s="33"/>
      <c r="AY305" s="92"/>
      <c r="AZ305" s="88"/>
      <c r="BA305" s="34"/>
      <c r="BB305" s="34"/>
      <c r="BC305" s="34"/>
      <c r="BD305" s="34"/>
      <c r="BE305" s="35"/>
      <c r="BF305" s="88"/>
      <c r="BG305" s="34"/>
      <c r="BH305" s="34"/>
      <c r="BI305" s="35">
        <f>AY305</f>
        <v>0</v>
      </c>
      <c r="BJ305" s="9"/>
      <c r="BK305" s="10"/>
      <c r="BL305" s="36"/>
      <c r="BM305" s="2"/>
      <c r="BN305" s="12"/>
      <c r="BO305" s="13"/>
      <c r="BP305" s="14"/>
      <c r="BQ305" s="15"/>
      <c r="BR305" s="16"/>
      <c r="BS305" s="17"/>
      <c r="BT305" s="14"/>
      <c r="BU305" s="15"/>
      <c r="BV305" s="16"/>
      <c r="BW305" s="17"/>
      <c r="BX305" s="18"/>
      <c r="BY305" s="19"/>
      <c r="BZ305" s="20"/>
      <c r="CA305" s="15"/>
      <c r="CB305" s="21"/>
      <c r="CC305" s="22"/>
      <c r="CD305" s="23"/>
      <c r="CE305" s="12"/>
      <c r="CF305" s="24"/>
      <c r="CG305" s="25"/>
      <c r="CH305" s="25"/>
      <c r="CI305" s="25"/>
      <c r="CJ305" s="25"/>
      <c r="CK305" s="25"/>
      <c r="CL305" s="25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92"/>
      <c r="DB305" s="92"/>
      <c r="DC305" s="31"/>
      <c r="DD305" s="31"/>
      <c r="DE305" s="31"/>
    </row>
    <row r="306" spans="1:109" hidden="1">
      <c r="A306" s="165" t="s">
        <v>142</v>
      </c>
      <c r="B306" s="166" t="s">
        <v>100</v>
      </c>
      <c r="C306" s="308" t="s">
        <v>54</v>
      </c>
      <c r="D306" s="310"/>
      <c r="E306" s="310"/>
      <c r="F306" s="310"/>
      <c r="G306" s="310"/>
      <c r="H306" s="311">
        <f>SUM(H307)</f>
        <v>457.05</v>
      </c>
      <c r="I306" s="311">
        <f>SUM(I307)</f>
        <v>121.49</v>
      </c>
      <c r="J306" s="311">
        <f>SUM(J307)</f>
        <v>31.59</v>
      </c>
      <c r="K306" s="311">
        <f>SUM(K307)</f>
        <v>89.9</v>
      </c>
      <c r="L306" s="169">
        <f t="shared" ref="L306:U306" si="148">L307</f>
        <v>55.645000000000003</v>
      </c>
      <c r="M306" s="294">
        <f t="shared" si="148"/>
        <v>55.645710000000001</v>
      </c>
      <c r="N306" s="294">
        <f t="shared" si="148"/>
        <v>43.96</v>
      </c>
      <c r="O306" s="294">
        <f t="shared" si="148"/>
        <v>43.96</v>
      </c>
      <c r="P306" s="294"/>
      <c r="Q306" s="294"/>
      <c r="R306" s="294">
        <f t="shared" si="148"/>
        <v>3.0379999999999998</v>
      </c>
      <c r="S306" s="294">
        <f t="shared" si="148"/>
        <v>3.04</v>
      </c>
      <c r="T306" s="294">
        <f t="shared" si="148"/>
        <v>8.6479999999999997</v>
      </c>
      <c r="U306" s="294">
        <f t="shared" si="148"/>
        <v>8.65</v>
      </c>
      <c r="V306" s="294"/>
      <c r="W306" s="294"/>
      <c r="X306" s="294">
        <f>O306-N306</f>
        <v>0</v>
      </c>
      <c r="Y306" s="280">
        <f>O306/N306</f>
        <v>1</v>
      </c>
      <c r="Z306" s="169">
        <f t="shared" ref="Z306:AG306" si="149">Z307</f>
        <v>55.65</v>
      </c>
      <c r="AA306" s="294">
        <f t="shared" si="149"/>
        <v>49.05</v>
      </c>
      <c r="AB306" s="294">
        <f t="shared" si="149"/>
        <v>43.96</v>
      </c>
      <c r="AC306" s="294">
        <f t="shared" si="149"/>
        <v>0</v>
      </c>
      <c r="AD306" s="294">
        <f t="shared" si="149"/>
        <v>3.04</v>
      </c>
      <c r="AE306" s="294">
        <f t="shared" si="149"/>
        <v>0</v>
      </c>
      <c r="AF306" s="294">
        <f t="shared" si="149"/>
        <v>8.65</v>
      </c>
      <c r="AG306" s="294">
        <f t="shared" si="149"/>
        <v>0</v>
      </c>
      <c r="AH306" s="294"/>
      <c r="AI306" s="294"/>
      <c r="AJ306" s="294">
        <f>AC306-AB306</f>
        <v>-43.96</v>
      </c>
      <c r="AK306" s="281">
        <f>AC306/AB306</f>
        <v>0</v>
      </c>
      <c r="AL306" s="169">
        <f t="shared" ref="AL306:AS306" si="150">AL307</f>
        <v>55.65</v>
      </c>
      <c r="AM306" s="294">
        <f t="shared" si="150"/>
        <v>49.05</v>
      </c>
      <c r="AN306" s="294">
        <f t="shared" si="150"/>
        <v>43.96</v>
      </c>
      <c r="AO306" s="294">
        <f t="shared" si="150"/>
        <v>0</v>
      </c>
      <c r="AP306" s="294">
        <f t="shared" si="150"/>
        <v>3.04</v>
      </c>
      <c r="AQ306" s="294">
        <f t="shared" si="150"/>
        <v>0</v>
      </c>
      <c r="AR306" s="294">
        <f t="shared" si="150"/>
        <v>8.65</v>
      </c>
      <c r="AS306" s="294">
        <f t="shared" si="150"/>
        <v>0</v>
      </c>
      <c r="AT306" s="294"/>
      <c r="AU306" s="294"/>
      <c r="AV306" s="294">
        <f>AO306-AN306</f>
        <v>-43.96</v>
      </c>
      <c r="AW306" s="281">
        <f>AO306/AN306</f>
        <v>0</v>
      </c>
      <c r="AX306" s="167">
        <f>SUM(AX307)</f>
        <v>308.88</v>
      </c>
      <c r="AY306" s="312">
        <f t="shared" ref="AY306:BD306" si="151">AY307</f>
        <v>0</v>
      </c>
      <c r="AZ306" s="313">
        <f t="shared" si="151"/>
        <v>0</v>
      </c>
      <c r="BA306" s="314">
        <f>SUM(BA307)</f>
        <v>-130.85</v>
      </c>
      <c r="BB306" s="314">
        <f t="shared" si="151"/>
        <v>0</v>
      </c>
      <c r="BC306" s="314">
        <f>BC307</f>
        <v>130.85</v>
      </c>
      <c r="BD306" s="314">
        <f t="shared" si="151"/>
        <v>0</v>
      </c>
      <c r="BE306" s="315"/>
      <c r="BF306" s="313"/>
      <c r="BG306" s="314"/>
      <c r="BH306" s="314"/>
      <c r="BI306" s="315"/>
      <c r="BJ306" s="417">
        <f>BA306-AZ306</f>
        <v>-130.85</v>
      </c>
      <c r="BK306" s="418" t="e">
        <f>BA306/AZ306</f>
        <v>#DIV/0!</v>
      </c>
      <c r="BL306" s="623"/>
      <c r="BM306" s="174">
        <f>BM307</f>
        <v>49.047379999999997</v>
      </c>
      <c r="BN306" s="175"/>
      <c r="BO306" s="507"/>
      <c r="BP306" s="456"/>
      <c r="BQ306" s="454"/>
      <c r="BR306" s="457"/>
      <c r="BS306" s="458"/>
      <c r="BT306" s="456"/>
      <c r="BU306" s="454"/>
      <c r="BV306" s="457"/>
      <c r="BW306" s="458"/>
      <c r="BX306" s="459"/>
      <c r="BY306" s="460"/>
      <c r="BZ306" s="461"/>
      <c r="CA306" s="454"/>
      <c r="CB306" s="462"/>
      <c r="CC306" s="309"/>
      <c r="CD306" s="463"/>
      <c r="CE306" s="175"/>
      <c r="CF306" s="464"/>
      <c r="CG306" s="650"/>
      <c r="CH306" s="650"/>
      <c r="CI306" s="650"/>
      <c r="CJ306" s="650"/>
      <c r="CK306" s="650"/>
      <c r="CL306" s="650"/>
      <c r="CM306" s="651"/>
      <c r="CN306" s="651"/>
      <c r="CO306" s="651"/>
      <c r="CP306" s="651"/>
      <c r="CQ306" s="651"/>
      <c r="CR306" s="651"/>
      <c r="CS306" s="651"/>
      <c r="CT306" s="651"/>
      <c r="CU306" s="651"/>
      <c r="CV306" s="651"/>
      <c r="CW306" s="651"/>
      <c r="CX306" s="651"/>
      <c r="CY306" s="651"/>
      <c r="CZ306" s="651"/>
      <c r="DA306" s="312">
        <f>DA307</f>
        <v>0</v>
      </c>
      <c r="DB306" s="312">
        <f>DB307</f>
        <v>0</v>
      </c>
      <c r="DC306" s="310"/>
      <c r="DD306" s="310"/>
      <c r="DE306" s="310"/>
    </row>
    <row r="307" spans="1:109" hidden="1">
      <c r="A307" s="38"/>
      <c r="B307" s="316" t="s">
        <v>44</v>
      </c>
      <c r="C307" s="317" t="s">
        <v>54</v>
      </c>
      <c r="D307" s="69"/>
      <c r="E307" s="69"/>
      <c r="F307" s="69"/>
      <c r="G307" s="69"/>
      <c r="H307" s="51">
        <v>457.05</v>
      </c>
      <c r="I307" s="51">
        <v>121.49</v>
      </c>
      <c r="J307" s="51">
        <v>31.59</v>
      </c>
      <c r="K307" s="51">
        <v>89.9</v>
      </c>
      <c r="L307" s="53">
        <v>55.645000000000003</v>
      </c>
      <c r="M307" s="53">
        <v>55.645710000000001</v>
      </c>
      <c r="N307" s="53">
        <v>43.96</v>
      </c>
      <c r="O307" s="53">
        <v>43.96</v>
      </c>
      <c r="P307" s="53"/>
      <c r="Q307" s="53"/>
      <c r="R307" s="53">
        <v>3.0379999999999998</v>
      </c>
      <c r="S307" s="53">
        <v>3.04</v>
      </c>
      <c r="T307" s="53">
        <v>8.6479999999999997</v>
      </c>
      <c r="U307" s="53">
        <v>8.65</v>
      </c>
      <c r="V307" s="53"/>
      <c r="W307" s="53"/>
      <c r="X307" s="51">
        <f>O307-N307</f>
        <v>0</v>
      </c>
      <c r="Y307" s="55">
        <f>O307/N307</f>
        <v>1</v>
      </c>
      <c r="Z307" s="53">
        <v>55.65</v>
      </c>
      <c r="AA307" s="53">
        <v>49.05</v>
      </c>
      <c r="AB307" s="53">
        <v>43.96</v>
      </c>
      <c r="AC307" s="53"/>
      <c r="AD307" s="53">
        <v>3.04</v>
      </c>
      <c r="AE307" s="53"/>
      <c r="AF307" s="53">
        <v>8.65</v>
      </c>
      <c r="AG307" s="53"/>
      <c r="AH307" s="53"/>
      <c r="AI307" s="53"/>
      <c r="AJ307" s="51"/>
      <c r="AK307" s="56"/>
      <c r="AL307" s="53">
        <v>55.65</v>
      </c>
      <c r="AM307" s="53">
        <v>49.05</v>
      </c>
      <c r="AN307" s="53">
        <v>43.96</v>
      </c>
      <c r="AO307" s="53"/>
      <c r="AP307" s="53">
        <v>3.04</v>
      </c>
      <c r="AQ307" s="53"/>
      <c r="AR307" s="53">
        <v>8.65</v>
      </c>
      <c r="AS307" s="53"/>
      <c r="AT307" s="53"/>
      <c r="AU307" s="53"/>
      <c r="AV307" s="51"/>
      <c r="AW307" s="56"/>
      <c r="AX307" s="31">
        <v>308.88</v>
      </c>
      <c r="AY307" s="77"/>
      <c r="AZ307" s="89"/>
      <c r="BA307" s="50">
        <f>AY307-BC307</f>
        <v>-130.85</v>
      </c>
      <c r="BB307" s="50"/>
      <c r="BC307" s="50">
        <v>130.85</v>
      </c>
      <c r="BD307" s="50"/>
      <c r="BE307" s="39"/>
      <c r="BF307" s="89"/>
      <c r="BG307" s="50"/>
      <c r="BH307" s="50"/>
      <c r="BI307" s="39"/>
      <c r="BJ307" s="426">
        <f>BA307-AZ307</f>
        <v>-130.85</v>
      </c>
      <c r="BK307" s="46"/>
      <c r="BL307" s="652"/>
      <c r="BM307" s="568">
        <v>49.047379999999997</v>
      </c>
      <c r="BN307" s="103"/>
      <c r="BO307" s="420"/>
      <c r="BP307" s="567"/>
      <c r="BQ307" s="568"/>
      <c r="BR307" s="569"/>
      <c r="BS307" s="570"/>
      <c r="BT307" s="567"/>
      <c r="BU307" s="568"/>
      <c r="BV307" s="569"/>
      <c r="BW307" s="570"/>
      <c r="BX307" s="653"/>
      <c r="BY307" s="571"/>
      <c r="BZ307" s="572">
        <f>M307+BM307+BQ307+BU307</f>
        <v>104.69309</v>
      </c>
      <c r="CA307" s="573"/>
      <c r="CB307" s="574"/>
      <c r="CC307" s="93">
        <f>BZ307-E307</f>
        <v>104.69309</v>
      </c>
      <c r="CD307" s="347">
        <v>730.28</v>
      </c>
      <c r="CE307" s="353"/>
      <c r="CF307" s="575"/>
      <c r="CG307" s="74"/>
      <c r="CH307" s="74"/>
      <c r="CI307" s="74"/>
      <c r="CJ307" s="74"/>
      <c r="CK307" s="74"/>
      <c r="CL307" s="74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7"/>
      <c r="DB307" s="77"/>
      <c r="DC307" s="69"/>
      <c r="DD307" s="69"/>
      <c r="DE307" s="69"/>
    </row>
    <row r="308" spans="1:109" hidden="1">
      <c r="A308" s="165" t="s">
        <v>150</v>
      </c>
      <c r="B308" s="318" t="s">
        <v>101</v>
      </c>
      <c r="C308" s="319" t="s">
        <v>54</v>
      </c>
      <c r="D308" s="320"/>
      <c r="E308" s="320"/>
      <c r="F308" s="320"/>
      <c r="G308" s="320"/>
      <c r="H308" s="181"/>
      <c r="I308" s="181"/>
      <c r="J308" s="181"/>
      <c r="K308" s="181"/>
      <c r="L308" s="321"/>
      <c r="M308" s="322">
        <f>SUM(M309:M316)</f>
        <v>8</v>
      </c>
      <c r="N308" s="322"/>
      <c r="O308" s="322">
        <f>O309+O316</f>
        <v>8</v>
      </c>
      <c r="P308" s="322"/>
      <c r="Q308" s="322"/>
      <c r="R308" s="322"/>
      <c r="S308" s="322"/>
      <c r="T308" s="322"/>
      <c r="U308" s="322"/>
      <c r="V308" s="322"/>
      <c r="W308" s="322"/>
      <c r="X308" s="216"/>
      <c r="Y308" s="191"/>
      <c r="Z308" s="321"/>
      <c r="AA308" s="322">
        <f>SUM(AA309:AA316)</f>
        <v>4.4000000000000004</v>
      </c>
      <c r="AB308" s="322"/>
      <c r="AC308" s="322">
        <f>AC309+AC316</f>
        <v>0</v>
      </c>
      <c r="AD308" s="322"/>
      <c r="AE308" s="322"/>
      <c r="AF308" s="322"/>
      <c r="AG308" s="322"/>
      <c r="AH308" s="322"/>
      <c r="AI308" s="322"/>
      <c r="AJ308" s="216"/>
      <c r="AK308" s="192"/>
      <c r="AL308" s="321"/>
      <c r="AM308" s="322">
        <f>SUM(AM309:AM316)</f>
        <v>4.4000000000000004</v>
      </c>
      <c r="AN308" s="322"/>
      <c r="AO308" s="322">
        <f>AO309+AO316</f>
        <v>0</v>
      </c>
      <c r="AP308" s="322"/>
      <c r="AQ308" s="322"/>
      <c r="AR308" s="322"/>
      <c r="AS308" s="322"/>
      <c r="AT308" s="322"/>
      <c r="AU308" s="322"/>
      <c r="AV308" s="216"/>
      <c r="AW308" s="192"/>
      <c r="AX308" s="108"/>
      <c r="AY308" s="323"/>
      <c r="AZ308" s="324"/>
      <c r="BA308" s="325"/>
      <c r="BB308" s="325"/>
      <c r="BC308" s="325"/>
      <c r="BD308" s="325"/>
      <c r="BE308" s="326"/>
      <c r="BF308" s="324"/>
      <c r="BG308" s="325"/>
      <c r="BH308" s="325"/>
      <c r="BI308" s="326">
        <f>SUM(BI309:BI316)</f>
        <v>0</v>
      </c>
      <c r="BJ308" s="426">
        <f>BA308-AZ308</f>
        <v>0</v>
      </c>
      <c r="BK308" s="46"/>
      <c r="BL308" s="506"/>
      <c r="BM308" s="454">
        <f>SUM(BM309:BM316)</f>
        <v>4.4000000000000004</v>
      </c>
      <c r="BN308" s="175"/>
      <c r="BO308" s="507"/>
      <c r="BP308" s="456"/>
      <c r="BQ308" s="454"/>
      <c r="BR308" s="508"/>
      <c r="BS308" s="458"/>
      <c r="BT308" s="456"/>
      <c r="BU308" s="454"/>
      <c r="BV308" s="508"/>
      <c r="BW308" s="458"/>
      <c r="BX308" s="509"/>
      <c r="BY308" s="460"/>
      <c r="BZ308" s="461"/>
      <c r="CA308" s="510"/>
      <c r="CB308" s="462"/>
      <c r="CC308" s="309"/>
      <c r="CD308" s="511"/>
      <c r="CE308" s="512"/>
      <c r="CF308" s="464"/>
      <c r="CG308" s="465"/>
      <c r="CH308" s="465"/>
      <c r="CI308" s="465"/>
      <c r="CJ308" s="465"/>
      <c r="CK308" s="465"/>
      <c r="CL308" s="465"/>
      <c r="CM308" s="466"/>
      <c r="CN308" s="466"/>
      <c r="CO308" s="466"/>
      <c r="CP308" s="466"/>
      <c r="CQ308" s="466"/>
      <c r="CR308" s="466"/>
      <c r="CS308" s="466"/>
      <c r="CT308" s="466"/>
      <c r="CU308" s="466"/>
      <c r="CV308" s="466"/>
      <c r="CW308" s="466"/>
      <c r="CX308" s="466"/>
      <c r="CY308" s="466"/>
      <c r="CZ308" s="466"/>
      <c r="DA308" s="323"/>
      <c r="DB308" s="323"/>
      <c r="DC308" s="320"/>
      <c r="DD308" s="320"/>
      <c r="DE308" s="320"/>
    </row>
    <row r="309" spans="1:109" hidden="1">
      <c r="A309" s="177"/>
      <c r="B309" s="48" t="s">
        <v>112</v>
      </c>
      <c r="C309" s="49" t="s">
        <v>54</v>
      </c>
      <c r="D309" s="69"/>
      <c r="E309" s="69"/>
      <c r="F309" s="69"/>
      <c r="G309" s="69"/>
      <c r="H309" s="51"/>
      <c r="I309" s="51"/>
      <c r="J309" s="51"/>
      <c r="K309" s="51"/>
      <c r="L309" s="52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4"/>
      <c r="Y309" s="55"/>
      <c r="Z309" s="52"/>
      <c r="AA309" s="53">
        <v>4.4000000000000004</v>
      </c>
      <c r="AB309" s="53"/>
      <c r="AC309" s="53"/>
      <c r="AD309" s="53"/>
      <c r="AE309" s="53"/>
      <c r="AF309" s="53"/>
      <c r="AG309" s="53"/>
      <c r="AH309" s="53"/>
      <c r="AI309" s="53"/>
      <c r="AJ309" s="54"/>
      <c r="AK309" s="56"/>
      <c r="AL309" s="52"/>
      <c r="AM309" s="53">
        <v>4.4000000000000004</v>
      </c>
      <c r="AN309" s="53"/>
      <c r="AO309" s="53"/>
      <c r="AP309" s="53"/>
      <c r="AQ309" s="53"/>
      <c r="AR309" s="53"/>
      <c r="AS309" s="53"/>
      <c r="AT309" s="53"/>
      <c r="AU309" s="53"/>
      <c r="AV309" s="54"/>
      <c r="AW309" s="56"/>
      <c r="AX309" s="108"/>
      <c r="AY309" s="77"/>
      <c r="AZ309" s="89"/>
      <c r="BA309" s="50"/>
      <c r="BB309" s="50"/>
      <c r="BC309" s="50"/>
      <c r="BD309" s="50"/>
      <c r="BE309" s="39"/>
      <c r="BF309" s="89"/>
      <c r="BG309" s="50"/>
      <c r="BH309" s="50"/>
      <c r="BI309" s="39"/>
      <c r="BJ309" s="426">
        <f>BA309-AZ309</f>
        <v>0</v>
      </c>
      <c r="BK309" s="46"/>
      <c r="BL309" s="60"/>
      <c r="BM309" s="61">
        <v>4.4000000000000004</v>
      </c>
      <c r="BN309" s="62"/>
      <c r="BO309" s="470"/>
      <c r="BP309" s="64"/>
      <c r="BQ309" s="61"/>
      <c r="BR309" s="65"/>
      <c r="BS309" s="66"/>
      <c r="BT309" s="64"/>
      <c r="BU309" s="61"/>
      <c r="BV309" s="65"/>
      <c r="BW309" s="66"/>
      <c r="BX309" s="67"/>
      <c r="BY309" s="68"/>
      <c r="BZ309" s="69">
        <f>M309+BM309+BQ309+BU309</f>
        <v>4.4000000000000004</v>
      </c>
      <c r="CA309" s="70"/>
      <c r="CB309" s="71"/>
      <c r="CC309" s="72">
        <f>BZ309-E309</f>
        <v>4.4000000000000004</v>
      </c>
      <c r="CD309" s="58">
        <v>10.8</v>
      </c>
      <c r="CE309" s="50"/>
      <c r="CF309" s="73"/>
      <c r="CG309" s="74"/>
      <c r="CH309" s="74"/>
      <c r="CI309" s="74"/>
      <c r="CJ309" s="74"/>
      <c r="CK309" s="74"/>
      <c r="CL309" s="74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7"/>
      <c r="DB309" s="77"/>
      <c r="DC309" s="69"/>
      <c r="DD309" s="69"/>
      <c r="DE309" s="69"/>
    </row>
    <row r="310" spans="1:109" hidden="1">
      <c r="A310" s="177"/>
      <c r="B310" s="48" t="s">
        <v>113</v>
      </c>
      <c r="C310" s="49" t="s">
        <v>54</v>
      </c>
      <c r="D310" s="69"/>
      <c r="E310" s="69"/>
      <c r="F310" s="69"/>
      <c r="G310" s="69"/>
      <c r="H310" s="51"/>
      <c r="I310" s="51"/>
      <c r="J310" s="51"/>
      <c r="K310" s="51"/>
      <c r="L310" s="52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4"/>
      <c r="Y310" s="55"/>
      <c r="Z310" s="52"/>
      <c r="AA310" s="53"/>
      <c r="AB310" s="53"/>
      <c r="AC310" s="53"/>
      <c r="AD310" s="53"/>
      <c r="AE310" s="53"/>
      <c r="AF310" s="53"/>
      <c r="AG310" s="53"/>
      <c r="AH310" s="53"/>
      <c r="AI310" s="53"/>
      <c r="AJ310" s="54"/>
      <c r="AK310" s="56"/>
      <c r="AL310" s="52"/>
      <c r="AM310" s="53"/>
      <c r="AN310" s="53"/>
      <c r="AO310" s="53"/>
      <c r="AP310" s="53"/>
      <c r="AQ310" s="53"/>
      <c r="AR310" s="53"/>
      <c r="AS310" s="53"/>
      <c r="AT310" s="53"/>
      <c r="AU310" s="53"/>
      <c r="AV310" s="54"/>
      <c r="AW310" s="56"/>
      <c r="AX310" s="108"/>
      <c r="AY310" s="77"/>
      <c r="AZ310" s="89"/>
      <c r="BA310" s="50"/>
      <c r="BB310" s="50"/>
      <c r="BC310" s="50"/>
      <c r="BD310" s="50"/>
      <c r="BE310" s="39"/>
      <c r="BF310" s="89"/>
      <c r="BG310" s="50"/>
      <c r="BH310" s="50"/>
      <c r="BI310" s="39"/>
      <c r="BJ310" s="426"/>
      <c r="BK310" s="46"/>
      <c r="BL310" s="60"/>
      <c r="BM310" s="61"/>
      <c r="BN310" s="62"/>
      <c r="BO310" s="470"/>
      <c r="BP310" s="64"/>
      <c r="BQ310" s="61"/>
      <c r="BR310" s="65"/>
      <c r="BS310" s="66"/>
      <c r="BT310" s="64"/>
      <c r="BU310" s="61"/>
      <c r="BV310" s="65"/>
      <c r="BW310" s="66"/>
      <c r="BX310" s="67"/>
      <c r="BY310" s="68"/>
      <c r="BZ310" s="69"/>
      <c r="CA310" s="70"/>
      <c r="CB310" s="71"/>
      <c r="CC310" s="72"/>
      <c r="CD310" s="58"/>
      <c r="CE310" s="50"/>
      <c r="CF310" s="73"/>
      <c r="CG310" s="74"/>
      <c r="CH310" s="74"/>
      <c r="CI310" s="74"/>
      <c r="CJ310" s="74"/>
      <c r="CK310" s="74"/>
      <c r="CL310" s="74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7"/>
      <c r="DB310" s="77"/>
      <c r="DC310" s="69"/>
      <c r="DD310" s="69"/>
      <c r="DE310" s="69"/>
    </row>
    <row r="311" spans="1:109" ht="24" hidden="1">
      <c r="A311" s="177"/>
      <c r="B311" s="48" t="s">
        <v>202</v>
      </c>
      <c r="C311" s="49"/>
      <c r="D311" s="69"/>
      <c r="E311" s="69"/>
      <c r="F311" s="69"/>
      <c r="G311" s="69"/>
      <c r="H311" s="51"/>
      <c r="I311" s="51"/>
      <c r="J311" s="51"/>
      <c r="K311" s="51"/>
      <c r="L311" s="52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4"/>
      <c r="Y311" s="55"/>
      <c r="Z311" s="52"/>
      <c r="AA311" s="53"/>
      <c r="AB311" s="53"/>
      <c r="AC311" s="53"/>
      <c r="AD311" s="53"/>
      <c r="AE311" s="53"/>
      <c r="AF311" s="53"/>
      <c r="AG311" s="53"/>
      <c r="AH311" s="53"/>
      <c r="AI311" s="53"/>
      <c r="AJ311" s="54"/>
      <c r="AK311" s="56"/>
      <c r="AL311" s="52"/>
      <c r="AM311" s="53"/>
      <c r="AN311" s="53"/>
      <c r="AO311" s="53"/>
      <c r="AP311" s="53"/>
      <c r="AQ311" s="53"/>
      <c r="AR311" s="53"/>
      <c r="AS311" s="53"/>
      <c r="AT311" s="53"/>
      <c r="AU311" s="53"/>
      <c r="AV311" s="54"/>
      <c r="AW311" s="56"/>
      <c r="AX311" s="108"/>
      <c r="AY311" s="77"/>
      <c r="AZ311" s="89"/>
      <c r="BA311" s="50"/>
      <c r="BB311" s="50"/>
      <c r="BC311" s="50"/>
      <c r="BD311" s="50"/>
      <c r="BE311" s="39"/>
      <c r="BF311" s="89"/>
      <c r="BG311" s="50"/>
      <c r="BH311" s="50"/>
      <c r="BI311" s="39">
        <f>AY311</f>
        <v>0</v>
      </c>
      <c r="BJ311" s="426"/>
      <c r="BK311" s="46"/>
      <c r="BL311" s="60"/>
      <c r="BM311" s="61"/>
      <c r="BN311" s="62"/>
      <c r="BO311" s="470"/>
      <c r="BP311" s="64"/>
      <c r="BQ311" s="61"/>
      <c r="BR311" s="65"/>
      <c r="BS311" s="66"/>
      <c r="BT311" s="64"/>
      <c r="BU311" s="61"/>
      <c r="BV311" s="65"/>
      <c r="BW311" s="66"/>
      <c r="BX311" s="67"/>
      <c r="BY311" s="68"/>
      <c r="BZ311" s="69"/>
      <c r="CA311" s="70"/>
      <c r="CB311" s="71"/>
      <c r="CC311" s="72"/>
      <c r="CD311" s="58"/>
      <c r="CE311" s="50"/>
      <c r="CF311" s="73"/>
      <c r="CG311" s="74"/>
      <c r="CH311" s="74"/>
      <c r="CI311" s="74"/>
      <c r="CJ311" s="74"/>
      <c r="CK311" s="74"/>
      <c r="CL311" s="74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7"/>
      <c r="DB311" s="77"/>
      <c r="DC311" s="69"/>
      <c r="DD311" s="69"/>
      <c r="DE311" s="69"/>
    </row>
    <row r="312" spans="1:109" hidden="1">
      <c r="A312" s="177"/>
      <c r="B312" s="48" t="s">
        <v>235</v>
      </c>
      <c r="C312" s="49" t="s">
        <v>54</v>
      </c>
      <c r="D312" s="69"/>
      <c r="E312" s="69"/>
      <c r="F312" s="69"/>
      <c r="G312" s="69"/>
      <c r="H312" s="51"/>
      <c r="I312" s="51"/>
      <c r="J312" s="51"/>
      <c r="K312" s="51"/>
      <c r="L312" s="52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4"/>
      <c r="Y312" s="55"/>
      <c r="Z312" s="52"/>
      <c r="AA312" s="53"/>
      <c r="AB312" s="53"/>
      <c r="AC312" s="53"/>
      <c r="AD312" s="53"/>
      <c r="AE312" s="53"/>
      <c r="AF312" s="53"/>
      <c r="AG312" s="53"/>
      <c r="AH312" s="53"/>
      <c r="AI312" s="53"/>
      <c r="AJ312" s="54"/>
      <c r="AK312" s="56"/>
      <c r="AL312" s="52"/>
      <c r="AM312" s="53"/>
      <c r="AN312" s="53"/>
      <c r="AO312" s="53"/>
      <c r="AP312" s="53"/>
      <c r="AQ312" s="53"/>
      <c r="AR312" s="53"/>
      <c r="AS312" s="53"/>
      <c r="AT312" s="53"/>
      <c r="AU312" s="53"/>
      <c r="AV312" s="54"/>
      <c r="AW312" s="56"/>
      <c r="AX312" s="108"/>
      <c r="AY312" s="77"/>
      <c r="AZ312" s="89"/>
      <c r="BA312" s="50"/>
      <c r="BB312" s="50"/>
      <c r="BC312" s="50"/>
      <c r="BD312" s="50"/>
      <c r="BE312" s="39"/>
      <c r="BF312" s="89"/>
      <c r="BG312" s="50"/>
      <c r="BH312" s="50"/>
      <c r="BI312" s="39">
        <f>AY312</f>
        <v>0</v>
      </c>
      <c r="BJ312" s="426"/>
      <c r="BK312" s="46"/>
      <c r="BL312" s="60"/>
      <c r="BM312" s="61"/>
      <c r="BN312" s="62"/>
      <c r="BO312" s="470"/>
      <c r="BP312" s="64"/>
      <c r="BQ312" s="61"/>
      <c r="BR312" s="65"/>
      <c r="BS312" s="66"/>
      <c r="BT312" s="64"/>
      <c r="BU312" s="61"/>
      <c r="BV312" s="65"/>
      <c r="BW312" s="66"/>
      <c r="BX312" s="67"/>
      <c r="BY312" s="68"/>
      <c r="BZ312" s="69"/>
      <c r="CA312" s="70"/>
      <c r="CB312" s="71"/>
      <c r="CC312" s="72"/>
      <c r="CD312" s="58"/>
      <c r="CE312" s="50"/>
      <c r="CF312" s="73"/>
      <c r="CG312" s="74"/>
      <c r="CH312" s="74"/>
      <c r="CI312" s="74"/>
      <c r="CJ312" s="74"/>
      <c r="CK312" s="74"/>
      <c r="CL312" s="74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7"/>
      <c r="DB312" s="77"/>
      <c r="DC312" s="69"/>
      <c r="DD312" s="69"/>
      <c r="DE312" s="69"/>
    </row>
    <row r="313" spans="1:109" hidden="1">
      <c r="A313" s="177"/>
      <c r="B313" s="48" t="s">
        <v>55</v>
      </c>
      <c r="C313" s="49" t="s">
        <v>54</v>
      </c>
      <c r="D313" s="69"/>
      <c r="E313" s="69"/>
      <c r="F313" s="69"/>
      <c r="G313" s="69"/>
      <c r="H313" s="51"/>
      <c r="I313" s="51"/>
      <c r="J313" s="51"/>
      <c r="K313" s="51"/>
      <c r="L313" s="52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4"/>
      <c r="Y313" s="55"/>
      <c r="Z313" s="52"/>
      <c r="AA313" s="53"/>
      <c r="AB313" s="53"/>
      <c r="AC313" s="53"/>
      <c r="AD313" s="53"/>
      <c r="AE313" s="53"/>
      <c r="AF313" s="53"/>
      <c r="AG313" s="53"/>
      <c r="AH313" s="53"/>
      <c r="AI313" s="53"/>
      <c r="AJ313" s="54"/>
      <c r="AK313" s="56"/>
      <c r="AL313" s="52"/>
      <c r="AM313" s="53"/>
      <c r="AN313" s="53"/>
      <c r="AO313" s="53"/>
      <c r="AP313" s="53"/>
      <c r="AQ313" s="53"/>
      <c r="AR313" s="53"/>
      <c r="AS313" s="53"/>
      <c r="AT313" s="53"/>
      <c r="AU313" s="53"/>
      <c r="AV313" s="54"/>
      <c r="AW313" s="56"/>
      <c r="AX313" s="108"/>
      <c r="AY313" s="77"/>
      <c r="AZ313" s="89"/>
      <c r="BA313" s="50"/>
      <c r="BB313" s="50"/>
      <c r="BC313" s="50"/>
      <c r="BD313" s="50"/>
      <c r="BE313" s="39"/>
      <c r="BF313" s="89"/>
      <c r="BG313" s="50"/>
      <c r="BH313" s="50"/>
      <c r="BI313" s="39"/>
      <c r="BJ313" s="426"/>
      <c r="BK313" s="46"/>
      <c r="BL313" s="60"/>
      <c r="BM313" s="61"/>
      <c r="BN313" s="62"/>
      <c r="BO313" s="470"/>
      <c r="BP313" s="64"/>
      <c r="BQ313" s="61"/>
      <c r="BR313" s="65"/>
      <c r="BS313" s="66"/>
      <c r="BT313" s="64"/>
      <c r="BU313" s="61"/>
      <c r="BV313" s="65"/>
      <c r="BW313" s="66"/>
      <c r="BX313" s="67"/>
      <c r="BY313" s="68"/>
      <c r="BZ313" s="69"/>
      <c r="CA313" s="70"/>
      <c r="CB313" s="71"/>
      <c r="CC313" s="72"/>
      <c r="CD313" s="58"/>
      <c r="CE313" s="50"/>
      <c r="CF313" s="73"/>
      <c r="CG313" s="74"/>
      <c r="CH313" s="74"/>
      <c r="CI313" s="74"/>
      <c r="CJ313" s="74"/>
      <c r="CK313" s="74"/>
      <c r="CL313" s="74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7"/>
      <c r="DB313" s="77"/>
      <c r="DC313" s="69"/>
      <c r="DD313" s="69"/>
      <c r="DE313" s="69"/>
    </row>
    <row r="314" spans="1:109" hidden="1">
      <c r="A314" s="177"/>
      <c r="B314" s="48" t="s">
        <v>114</v>
      </c>
      <c r="C314" s="49" t="s">
        <v>54</v>
      </c>
      <c r="D314" s="69"/>
      <c r="E314" s="69"/>
      <c r="F314" s="69"/>
      <c r="G314" s="69"/>
      <c r="H314" s="51"/>
      <c r="I314" s="51"/>
      <c r="J314" s="51"/>
      <c r="K314" s="51"/>
      <c r="L314" s="52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4"/>
      <c r="Y314" s="55"/>
      <c r="Z314" s="52"/>
      <c r="AA314" s="53"/>
      <c r="AB314" s="53"/>
      <c r="AC314" s="53"/>
      <c r="AD314" s="53"/>
      <c r="AE314" s="53"/>
      <c r="AF314" s="53"/>
      <c r="AG314" s="53"/>
      <c r="AH314" s="53"/>
      <c r="AI314" s="53"/>
      <c r="AJ314" s="54"/>
      <c r="AK314" s="56"/>
      <c r="AL314" s="52"/>
      <c r="AM314" s="53"/>
      <c r="AN314" s="53"/>
      <c r="AO314" s="53"/>
      <c r="AP314" s="53"/>
      <c r="AQ314" s="53"/>
      <c r="AR314" s="53"/>
      <c r="AS314" s="53"/>
      <c r="AT314" s="53"/>
      <c r="AU314" s="53"/>
      <c r="AV314" s="54"/>
      <c r="AW314" s="56"/>
      <c r="AX314" s="108"/>
      <c r="AY314" s="77"/>
      <c r="AZ314" s="89"/>
      <c r="BA314" s="50"/>
      <c r="BB314" s="50"/>
      <c r="BC314" s="50"/>
      <c r="BD314" s="50"/>
      <c r="BE314" s="39"/>
      <c r="BF314" s="89"/>
      <c r="BG314" s="50"/>
      <c r="BH314" s="50"/>
      <c r="BI314" s="39">
        <f>AY314</f>
        <v>0</v>
      </c>
      <c r="BJ314" s="426"/>
      <c r="BK314" s="46"/>
      <c r="BL314" s="60"/>
      <c r="BM314" s="61"/>
      <c r="BN314" s="62"/>
      <c r="BO314" s="470"/>
      <c r="BP314" s="64"/>
      <c r="BQ314" s="61"/>
      <c r="BR314" s="65"/>
      <c r="BS314" s="66"/>
      <c r="BT314" s="64"/>
      <c r="BU314" s="61"/>
      <c r="BV314" s="65"/>
      <c r="BW314" s="66"/>
      <c r="BX314" s="67"/>
      <c r="BY314" s="68"/>
      <c r="BZ314" s="69"/>
      <c r="CA314" s="70"/>
      <c r="CB314" s="71"/>
      <c r="CC314" s="72"/>
      <c r="CD314" s="58"/>
      <c r="CE314" s="50"/>
      <c r="CF314" s="73"/>
      <c r="CG314" s="74"/>
      <c r="CH314" s="74"/>
      <c r="CI314" s="74"/>
      <c r="CJ314" s="74"/>
      <c r="CK314" s="74"/>
      <c r="CL314" s="74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7"/>
      <c r="DB314" s="77"/>
      <c r="DC314" s="69"/>
      <c r="DD314" s="69"/>
      <c r="DE314" s="69"/>
    </row>
    <row r="315" spans="1:109" hidden="1">
      <c r="A315" s="177"/>
      <c r="B315" s="48" t="s">
        <v>133</v>
      </c>
      <c r="C315" s="49" t="s">
        <v>54</v>
      </c>
      <c r="D315" s="69"/>
      <c r="E315" s="69"/>
      <c r="F315" s="69"/>
      <c r="G315" s="69"/>
      <c r="H315" s="51"/>
      <c r="I315" s="51"/>
      <c r="J315" s="51"/>
      <c r="K315" s="51"/>
      <c r="L315" s="52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4"/>
      <c r="Y315" s="55"/>
      <c r="Z315" s="52"/>
      <c r="AA315" s="53"/>
      <c r="AB315" s="53"/>
      <c r="AC315" s="53"/>
      <c r="AD315" s="53"/>
      <c r="AE315" s="53"/>
      <c r="AF315" s="53"/>
      <c r="AG315" s="53"/>
      <c r="AH315" s="53"/>
      <c r="AI315" s="53"/>
      <c r="AJ315" s="54"/>
      <c r="AK315" s="56"/>
      <c r="AL315" s="52"/>
      <c r="AM315" s="53"/>
      <c r="AN315" s="53"/>
      <c r="AO315" s="53"/>
      <c r="AP315" s="53"/>
      <c r="AQ315" s="53"/>
      <c r="AR315" s="53"/>
      <c r="AS315" s="53"/>
      <c r="AT315" s="53"/>
      <c r="AU315" s="53"/>
      <c r="AV315" s="54"/>
      <c r="AW315" s="56"/>
      <c r="AX315" s="108"/>
      <c r="AY315" s="77"/>
      <c r="AZ315" s="89"/>
      <c r="BA315" s="50"/>
      <c r="BB315" s="50"/>
      <c r="BC315" s="50"/>
      <c r="BD315" s="50"/>
      <c r="BE315" s="39"/>
      <c r="BF315" s="89"/>
      <c r="BG315" s="50"/>
      <c r="BH315" s="50"/>
      <c r="BI315" s="39">
        <f>AY315</f>
        <v>0</v>
      </c>
      <c r="BJ315" s="426"/>
      <c r="BK315" s="46"/>
      <c r="BL315" s="60"/>
      <c r="BM315" s="61"/>
      <c r="BN315" s="62"/>
      <c r="BO315" s="470"/>
      <c r="BP315" s="64"/>
      <c r="BQ315" s="61"/>
      <c r="BR315" s="65"/>
      <c r="BS315" s="66"/>
      <c r="BT315" s="64"/>
      <c r="BU315" s="61"/>
      <c r="BV315" s="65"/>
      <c r="BW315" s="66"/>
      <c r="BX315" s="67"/>
      <c r="BY315" s="68"/>
      <c r="BZ315" s="69"/>
      <c r="CA315" s="70"/>
      <c r="CB315" s="71"/>
      <c r="CC315" s="72"/>
      <c r="CD315" s="58"/>
      <c r="CE315" s="50"/>
      <c r="CF315" s="73"/>
      <c r="CG315" s="74"/>
      <c r="CH315" s="74"/>
      <c r="CI315" s="74"/>
      <c r="CJ315" s="74"/>
      <c r="CK315" s="74"/>
      <c r="CL315" s="74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7"/>
      <c r="DB315" s="77"/>
      <c r="DC315" s="69"/>
      <c r="DD315" s="69"/>
      <c r="DE315" s="69"/>
    </row>
    <row r="316" spans="1:109" hidden="1">
      <c r="A316" s="177"/>
      <c r="B316" s="48" t="s">
        <v>51</v>
      </c>
      <c r="C316" s="49" t="s">
        <v>54</v>
      </c>
      <c r="D316" s="69"/>
      <c r="E316" s="69"/>
      <c r="F316" s="69"/>
      <c r="G316" s="69"/>
      <c r="H316" s="51"/>
      <c r="I316" s="51"/>
      <c r="J316" s="51"/>
      <c r="K316" s="51"/>
      <c r="L316" s="52"/>
      <c r="M316" s="53">
        <v>8</v>
      </c>
      <c r="N316" s="53"/>
      <c r="O316" s="53">
        <v>8</v>
      </c>
      <c r="P316" s="53"/>
      <c r="Q316" s="53"/>
      <c r="R316" s="53"/>
      <c r="S316" s="53"/>
      <c r="T316" s="53"/>
      <c r="U316" s="53"/>
      <c r="V316" s="53"/>
      <c r="W316" s="53"/>
      <c r="X316" s="54"/>
      <c r="Y316" s="55"/>
      <c r="Z316" s="52"/>
      <c r="AA316" s="53"/>
      <c r="AB316" s="53"/>
      <c r="AC316" s="53"/>
      <c r="AD316" s="53"/>
      <c r="AE316" s="53"/>
      <c r="AF316" s="53"/>
      <c r="AG316" s="53"/>
      <c r="AH316" s="53"/>
      <c r="AI316" s="53"/>
      <c r="AJ316" s="54"/>
      <c r="AK316" s="56"/>
      <c r="AL316" s="52"/>
      <c r="AM316" s="53"/>
      <c r="AN316" s="53"/>
      <c r="AO316" s="53"/>
      <c r="AP316" s="53"/>
      <c r="AQ316" s="53"/>
      <c r="AR316" s="53"/>
      <c r="AS316" s="53"/>
      <c r="AT316" s="53"/>
      <c r="AU316" s="53"/>
      <c r="AV316" s="54"/>
      <c r="AW316" s="56"/>
      <c r="AX316" s="108"/>
      <c r="AY316" s="77"/>
      <c r="AZ316" s="89"/>
      <c r="BA316" s="50"/>
      <c r="BB316" s="50"/>
      <c r="BC316" s="50"/>
      <c r="BD316" s="50"/>
      <c r="BE316" s="39"/>
      <c r="BF316" s="89"/>
      <c r="BG316" s="50"/>
      <c r="BH316" s="50"/>
      <c r="BI316" s="39">
        <f>AY316</f>
        <v>0</v>
      </c>
      <c r="BJ316" s="426">
        <f>BA316-AZ316</f>
        <v>0</v>
      </c>
      <c r="BK316" s="46"/>
      <c r="BL316" s="60"/>
      <c r="BM316" s="61"/>
      <c r="BN316" s="62"/>
      <c r="BO316" s="470"/>
      <c r="BP316" s="64"/>
      <c r="BQ316" s="61"/>
      <c r="BR316" s="65"/>
      <c r="BS316" s="66"/>
      <c r="BT316" s="64"/>
      <c r="BU316" s="61"/>
      <c r="BV316" s="65"/>
      <c r="BW316" s="66"/>
      <c r="BX316" s="67"/>
      <c r="BY316" s="68"/>
      <c r="BZ316" s="69">
        <f>M316+BM316+BQ316+BU316</f>
        <v>8</v>
      </c>
      <c r="CA316" s="70"/>
      <c r="CB316" s="71"/>
      <c r="CC316" s="72">
        <f>BZ316-E316</f>
        <v>8</v>
      </c>
      <c r="CD316" s="58">
        <v>10.8</v>
      </c>
      <c r="CE316" s="50"/>
      <c r="CF316" s="73"/>
      <c r="CG316" s="74"/>
      <c r="CH316" s="74"/>
      <c r="CI316" s="74"/>
      <c r="CJ316" s="74"/>
      <c r="CK316" s="74"/>
      <c r="CL316" s="74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7"/>
      <c r="DB316" s="77"/>
      <c r="DC316" s="69"/>
      <c r="DD316" s="69"/>
      <c r="DE316" s="69"/>
    </row>
    <row r="317" spans="1:109" ht="24" hidden="1">
      <c r="A317" s="177" t="s">
        <v>151</v>
      </c>
      <c r="B317" s="318" t="s">
        <v>127</v>
      </c>
      <c r="C317" s="259" t="s">
        <v>54</v>
      </c>
      <c r="D317" s="320"/>
      <c r="E317" s="320"/>
      <c r="F317" s="320"/>
      <c r="G317" s="320"/>
      <c r="H317" s="181"/>
      <c r="I317" s="181"/>
      <c r="J317" s="181"/>
      <c r="K317" s="181"/>
      <c r="L317" s="321"/>
      <c r="M317" s="322"/>
      <c r="N317" s="322"/>
      <c r="O317" s="322"/>
      <c r="P317" s="322"/>
      <c r="Q317" s="322"/>
      <c r="R317" s="322"/>
      <c r="S317" s="322"/>
      <c r="T317" s="322"/>
      <c r="U317" s="322"/>
      <c r="V317" s="322"/>
      <c r="W317" s="322"/>
      <c r="X317" s="216"/>
      <c r="Y317" s="191"/>
      <c r="Z317" s="321"/>
      <c r="AA317" s="322"/>
      <c r="AB317" s="322"/>
      <c r="AC317" s="322"/>
      <c r="AD317" s="322"/>
      <c r="AE317" s="322"/>
      <c r="AF317" s="322"/>
      <c r="AG317" s="322"/>
      <c r="AH317" s="322"/>
      <c r="AI317" s="322"/>
      <c r="AJ317" s="216"/>
      <c r="AK317" s="192"/>
      <c r="AL317" s="321"/>
      <c r="AM317" s="322"/>
      <c r="AN317" s="322"/>
      <c r="AO317" s="322"/>
      <c r="AP317" s="322"/>
      <c r="AQ317" s="322"/>
      <c r="AR317" s="322"/>
      <c r="AS317" s="322"/>
      <c r="AT317" s="322"/>
      <c r="AU317" s="322"/>
      <c r="AV317" s="216"/>
      <c r="AW317" s="192"/>
      <c r="AX317" s="108"/>
      <c r="AY317" s="323"/>
      <c r="AZ317" s="324"/>
      <c r="BA317" s="325"/>
      <c r="BB317" s="325"/>
      <c r="BC317" s="325"/>
      <c r="BD317" s="325"/>
      <c r="BE317" s="326"/>
      <c r="BF317" s="324"/>
      <c r="BG317" s="325"/>
      <c r="BH317" s="325"/>
      <c r="BI317" s="326">
        <f>SUM(BI318:BI321)</f>
        <v>0</v>
      </c>
      <c r="BJ317" s="426"/>
      <c r="BK317" s="481"/>
      <c r="BL317" s="654"/>
      <c r="BM317" s="469"/>
      <c r="BN317" s="185"/>
      <c r="BO317" s="470"/>
      <c r="BP317" s="471"/>
      <c r="BQ317" s="469"/>
      <c r="BR317" s="655"/>
      <c r="BS317" s="473"/>
      <c r="BT317" s="471"/>
      <c r="BU317" s="469"/>
      <c r="BV317" s="655"/>
      <c r="BW317" s="473"/>
      <c r="BX317" s="656"/>
      <c r="BY317" s="475"/>
      <c r="BZ317" s="320"/>
      <c r="CA317" s="657"/>
      <c r="CB317" s="476"/>
      <c r="CC317" s="307"/>
      <c r="CD317" s="658"/>
      <c r="CE317" s="325"/>
      <c r="CF317" s="478"/>
      <c r="CG317" s="465"/>
      <c r="CH317" s="465"/>
      <c r="CI317" s="465"/>
      <c r="CJ317" s="465"/>
      <c r="CK317" s="465"/>
      <c r="CL317" s="465"/>
      <c r="CM317" s="466"/>
      <c r="CN317" s="466"/>
      <c r="CO317" s="466"/>
      <c r="CP317" s="466"/>
      <c r="CQ317" s="466"/>
      <c r="CR317" s="466"/>
      <c r="CS317" s="466"/>
      <c r="CT317" s="466"/>
      <c r="CU317" s="466"/>
      <c r="CV317" s="466"/>
      <c r="CW317" s="466"/>
      <c r="CX317" s="466"/>
      <c r="CY317" s="466"/>
      <c r="CZ317" s="466"/>
      <c r="DA317" s="323"/>
      <c r="DB317" s="323"/>
      <c r="DC317" s="320"/>
      <c r="DD317" s="320"/>
      <c r="DE317" s="320"/>
    </row>
    <row r="318" spans="1:109" hidden="1">
      <c r="A318" s="177"/>
      <c r="B318" s="48" t="s">
        <v>236</v>
      </c>
      <c r="C318" s="49" t="s">
        <v>54</v>
      </c>
      <c r="D318" s="69"/>
      <c r="E318" s="69"/>
      <c r="F318" s="69"/>
      <c r="G318" s="69"/>
      <c r="H318" s="51"/>
      <c r="I318" s="51"/>
      <c r="J318" s="51"/>
      <c r="K318" s="51"/>
      <c r="L318" s="52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4"/>
      <c r="Y318" s="55"/>
      <c r="Z318" s="52"/>
      <c r="AA318" s="53"/>
      <c r="AB318" s="53"/>
      <c r="AC318" s="53"/>
      <c r="AD318" s="53"/>
      <c r="AE318" s="53"/>
      <c r="AF318" s="53"/>
      <c r="AG318" s="53"/>
      <c r="AH318" s="53"/>
      <c r="AI318" s="53"/>
      <c r="AJ318" s="54"/>
      <c r="AK318" s="56"/>
      <c r="AL318" s="52"/>
      <c r="AM318" s="53"/>
      <c r="AN318" s="53"/>
      <c r="AO318" s="53"/>
      <c r="AP318" s="53"/>
      <c r="AQ318" s="53"/>
      <c r="AR318" s="53"/>
      <c r="AS318" s="53"/>
      <c r="AT318" s="53"/>
      <c r="AU318" s="53"/>
      <c r="AV318" s="54"/>
      <c r="AW318" s="56"/>
      <c r="AX318" s="108"/>
      <c r="AY318" s="77"/>
      <c r="AZ318" s="89"/>
      <c r="BA318" s="50"/>
      <c r="BB318" s="50"/>
      <c r="BC318" s="50"/>
      <c r="BD318" s="50"/>
      <c r="BE318" s="39"/>
      <c r="BF318" s="89"/>
      <c r="BG318" s="50"/>
      <c r="BH318" s="50"/>
      <c r="BI318" s="39">
        <f>AY318</f>
        <v>0</v>
      </c>
      <c r="BJ318" s="426"/>
      <c r="BK318" s="46"/>
      <c r="BL318" s="60"/>
      <c r="BM318" s="61"/>
      <c r="BN318" s="62"/>
      <c r="BO318" s="470"/>
      <c r="BP318" s="64"/>
      <c r="BQ318" s="61"/>
      <c r="BR318" s="65"/>
      <c r="BS318" s="66"/>
      <c r="BT318" s="64"/>
      <c r="BU318" s="61"/>
      <c r="BV318" s="65"/>
      <c r="BW318" s="66"/>
      <c r="BX318" s="67"/>
      <c r="BY318" s="68"/>
      <c r="BZ318" s="69"/>
      <c r="CA318" s="70"/>
      <c r="CB318" s="71"/>
      <c r="CC318" s="72"/>
      <c r="CD318" s="58"/>
      <c r="CE318" s="50"/>
      <c r="CF318" s="73"/>
      <c r="CG318" s="74"/>
      <c r="CH318" s="74"/>
      <c r="CI318" s="74"/>
      <c r="CJ318" s="74"/>
      <c r="CK318" s="74"/>
      <c r="CL318" s="74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7"/>
      <c r="DB318" s="77"/>
      <c r="DC318" s="69"/>
      <c r="DD318" s="69"/>
      <c r="DE318" s="69"/>
    </row>
    <row r="319" spans="1:109" hidden="1">
      <c r="A319" s="177"/>
      <c r="B319" s="48" t="s">
        <v>237</v>
      </c>
      <c r="C319" s="49"/>
      <c r="D319" s="69"/>
      <c r="E319" s="69"/>
      <c r="F319" s="69"/>
      <c r="G319" s="69"/>
      <c r="H319" s="51"/>
      <c r="I319" s="51"/>
      <c r="J319" s="51"/>
      <c r="K319" s="51"/>
      <c r="L319" s="52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4"/>
      <c r="Y319" s="55"/>
      <c r="Z319" s="52"/>
      <c r="AA319" s="53"/>
      <c r="AB319" s="53"/>
      <c r="AC319" s="53"/>
      <c r="AD319" s="53"/>
      <c r="AE319" s="53"/>
      <c r="AF319" s="53"/>
      <c r="AG319" s="53"/>
      <c r="AH319" s="53"/>
      <c r="AI319" s="53"/>
      <c r="AJ319" s="54"/>
      <c r="AK319" s="56"/>
      <c r="AL319" s="52"/>
      <c r="AM319" s="53"/>
      <c r="AN319" s="53"/>
      <c r="AO319" s="53"/>
      <c r="AP319" s="53"/>
      <c r="AQ319" s="53"/>
      <c r="AR319" s="53"/>
      <c r="AS319" s="53"/>
      <c r="AT319" s="53"/>
      <c r="AU319" s="53"/>
      <c r="AV319" s="54"/>
      <c r="AW319" s="56"/>
      <c r="AX319" s="108"/>
      <c r="AY319" s="77"/>
      <c r="AZ319" s="89"/>
      <c r="BA319" s="50"/>
      <c r="BB319" s="50"/>
      <c r="BC319" s="50"/>
      <c r="BD319" s="50"/>
      <c r="BE319" s="39"/>
      <c r="BF319" s="89"/>
      <c r="BG319" s="50"/>
      <c r="BH319" s="50"/>
      <c r="BI319" s="39">
        <f>AY319</f>
        <v>0</v>
      </c>
      <c r="BJ319" s="426"/>
      <c r="BK319" s="46"/>
      <c r="BL319" s="60"/>
      <c r="BM319" s="61"/>
      <c r="BN319" s="62"/>
      <c r="BO319" s="470"/>
      <c r="BP319" s="64"/>
      <c r="BQ319" s="61"/>
      <c r="BR319" s="65"/>
      <c r="BS319" s="66"/>
      <c r="BT319" s="64"/>
      <c r="BU319" s="61"/>
      <c r="BV319" s="65"/>
      <c r="BW319" s="66"/>
      <c r="BX319" s="67"/>
      <c r="BY319" s="68"/>
      <c r="BZ319" s="69"/>
      <c r="CA319" s="70"/>
      <c r="CB319" s="71"/>
      <c r="CC319" s="72"/>
      <c r="CD319" s="58"/>
      <c r="CE319" s="50"/>
      <c r="CF319" s="73"/>
      <c r="CG319" s="74"/>
      <c r="CH319" s="74"/>
      <c r="CI319" s="74"/>
      <c r="CJ319" s="74"/>
      <c r="CK319" s="74"/>
      <c r="CL319" s="74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7"/>
      <c r="DB319" s="77"/>
      <c r="DC319" s="69"/>
      <c r="DD319" s="69"/>
      <c r="DE319" s="69"/>
    </row>
    <row r="320" spans="1:109" hidden="1">
      <c r="A320" s="177"/>
      <c r="B320" s="48" t="s">
        <v>128</v>
      </c>
      <c r="C320" s="49" t="s">
        <v>54</v>
      </c>
      <c r="D320" s="69"/>
      <c r="E320" s="69"/>
      <c r="F320" s="69"/>
      <c r="G320" s="69"/>
      <c r="H320" s="51"/>
      <c r="I320" s="51"/>
      <c r="J320" s="51"/>
      <c r="K320" s="51"/>
      <c r="L320" s="52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4"/>
      <c r="Y320" s="55"/>
      <c r="Z320" s="52"/>
      <c r="AA320" s="53"/>
      <c r="AB320" s="53"/>
      <c r="AC320" s="53"/>
      <c r="AD320" s="53"/>
      <c r="AE320" s="53"/>
      <c r="AF320" s="53"/>
      <c r="AG320" s="53"/>
      <c r="AH320" s="53"/>
      <c r="AI320" s="53"/>
      <c r="AJ320" s="54"/>
      <c r="AK320" s="56"/>
      <c r="AL320" s="52"/>
      <c r="AM320" s="53"/>
      <c r="AN320" s="53"/>
      <c r="AO320" s="53"/>
      <c r="AP320" s="53"/>
      <c r="AQ320" s="53"/>
      <c r="AR320" s="53"/>
      <c r="AS320" s="53"/>
      <c r="AT320" s="53"/>
      <c r="AU320" s="53"/>
      <c r="AV320" s="54"/>
      <c r="AW320" s="56"/>
      <c r="AX320" s="108"/>
      <c r="AY320" s="77"/>
      <c r="AZ320" s="89"/>
      <c r="BA320" s="50"/>
      <c r="BB320" s="50"/>
      <c r="BC320" s="50"/>
      <c r="BD320" s="50"/>
      <c r="BE320" s="39"/>
      <c r="BF320" s="89"/>
      <c r="BG320" s="50"/>
      <c r="BH320" s="50"/>
      <c r="BI320" s="39">
        <f>AY320</f>
        <v>0</v>
      </c>
      <c r="BJ320" s="426"/>
      <c r="BK320" s="46"/>
      <c r="BL320" s="60"/>
      <c r="BM320" s="61"/>
      <c r="BN320" s="62"/>
      <c r="BO320" s="470"/>
      <c r="BP320" s="64"/>
      <c r="BQ320" s="61"/>
      <c r="BR320" s="65"/>
      <c r="BS320" s="66"/>
      <c r="BT320" s="64"/>
      <c r="BU320" s="61"/>
      <c r="BV320" s="65"/>
      <c r="BW320" s="66"/>
      <c r="BX320" s="67"/>
      <c r="BY320" s="68"/>
      <c r="BZ320" s="69"/>
      <c r="CA320" s="70"/>
      <c r="CB320" s="71"/>
      <c r="CC320" s="72"/>
      <c r="CD320" s="58"/>
      <c r="CE320" s="50"/>
      <c r="CF320" s="73"/>
      <c r="CG320" s="74"/>
      <c r="CH320" s="74"/>
      <c r="CI320" s="74"/>
      <c r="CJ320" s="74"/>
      <c r="CK320" s="74"/>
      <c r="CL320" s="74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7"/>
      <c r="DB320" s="77"/>
      <c r="DC320" s="69"/>
      <c r="DD320" s="69"/>
      <c r="DE320" s="69"/>
    </row>
    <row r="321" spans="1:109" hidden="1">
      <c r="A321" s="177"/>
      <c r="B321" s="48" t="s">
        <v>203</v>
      </c>
      <c r="C321" s="49"/>
      <c r="D321" s="69"/>
      <c r="E321" s="69"/>
      <c r="F321" s="69"/>
      <c r="G321" s="69"/>
      <c r="H321" s="51"/>
      <c r="I321" s="51"/>
      <c r="J321" s="51"/>
      <c r="K321" s="51"/>
      <c r="L321" s="52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4"/>
      <c r="Y321" s="55"/>
      <c r="Z321" s="52"/>
      <c r="AA321" s="53"/>
      <c r="AB321" s="53"/>
      <c r="AC321" s="53"/>
      <c r="AD321" s="53"/>
      <c r="AE321" s="53"/>
      <c r="AF321" s="53"/>
      <c r="AG321" s="53"/>
      <c r="AH321" s="53"/>
      <c r="AI321" s="53"/>
      <c r="AJ321" s="54"/>
      <c r="AK321" s="56"/>
      <c r="AL321" s="52"/>
      <c r="AM321" s="53"/>
      <c r="AN321" s="53"/>
      <c r="AO321" s="53"/>
      <c r="AP321" s="53"/>
      <c r="AQ321" s="53"/>
      <c r="AR321" s="53"/>
      <c r="AS321" s="53"/>
      <c r="AT321" s="53"/>
      <c r="AU321" s="53"/>
      <c r="AV321" s="54"/>
      <c r="AW321" s="56"/>
      <c r="AX321" s="108"/>
      <c r="AY321" s="77"/>
      <c r="AZ321" s="89"/>
      <c r="BA321" s="50"/>
      <c r="BB321" s="50"/>
      <c r="BC321" s="50"/>
      <c r="BD321" s="50"/>
      <c r="BE321" s="39"/>
      <c r="BF321" s="89"/>
      <c r="BG321" s="50"/>
      <c r="BH321" s="50"/>
      <c r="BI321" s="39">
        <f>AY321</f>
        <v>0</v>
      </c>
      <c r="BJ321" s="426"/>
      <c r="BK321" s="46"/>
      <c r="BL321" s="60"/>
      <c r="BM321" s="61"/>
      <c r="BN321" s="62"/>
      <c r="BO321" s="470"/>
      <c r="BP321" s="64"/>
      <c r="BQ321" s="61"/>
      <c r="BR321" s="65"/>
      <c r="BS321" s="66"/>
      <c r="BT321" s="64"/>
      <c r="BU321" s="61"/>
      <c r="BV321" s="65"/>
      <c r="BW321" s="66"/>
      <c r="BX321" s="67"/>
      <c r="BY321" s="68"/>
      <c r="BZ321" s="69"/>
      <c r="CA321" s="70"/>
      <c r="CB321" s="71"/>
      <c r="CC321" s="72"/>
      <c r="CD321" s="58"/>
      <c r="CE321" s="50"/>
      <c r="CF321" s="73"/>
      <c r="CG321" s="74"/>
      <c r="CH321" s="74"/>
      <c r="CI321" s="74"/>
      <c r="CJ321" s="74"/>
      <c r="CK321" s="74"/>
      <c r="CL321" s="74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7"/>
      <c r="DB321" s="77"/>
      <c r="DC321" s="69"/>
      <c r="DD321" s="69"/>
      <c r="DE321" s="69"/>
    </row>
    <row r="322" spans="1:109" hidden="1">
      <c r="A322" s="177" t="s">
        <v>152</v>
      </c>
      <c r="B322" s="327" t="s">
        <v>102</v>
      </c>
      <c r="C322" s="259" t="s">
        <v>54</v>
      </c>
      <c r="D322" s="320"/>
      <c r="E322" s="320"/>
      <c r="F322" s="320"/>
      <c r="G322" s="320"/>
      <c r="H322" s="181"/>
      <c r="I322" s="181"/>
      <c r="J322" s="181"/>
      <c r="K322" s="181"/>
      <c r="L322" s="321"/>
      <c r="M322" s="322">
        <f>SUM(M324)</f>
        <v>5.4249999999999998</v>
      </c>
      <c r="N322" s="322"/>
      <c r="O322" s="322">
        <f>O324</f>
        <v>5.43</v>
      </c>
      <c r="P322" s="322"/>
      <c r="Q322" s="322"/>
      <c r="R322" s="322"/>
      <c r="S322" s="322"/>
      <c r="T322" s="322"/>
      <c r="U322" s="322"/>
      <c r="V322" s="322"/>
      <c r="W322" s="322"/>
      <c r="X322" s="216"/>
      <c r="Y322" s="191"/>
      <c r="Z322" s="321"/>
      <c r="AA322" s="322">
        <f>SUM(AA324)</f>
        <v>3.61</v>
      </c>
      <c r="AB322" s="322"/>
      <c r="AC322" s="322">
        <f>AC324</f>
        <v>0</v>
      </c>
      <c r="AD322" s="322"/>
      <c r="AE322" s="322"/>
      <c r="AF322" s="322"/>
      <c r="AG322" s="322"/>
      <c r="AH322" s="322"/>
      <c r="AI322" s="322"/>
      <c r="AJ322" s="216"/>
      <c r="AK322" s="192"/>
      <c r="AL322" s="321"/>
      <c r="AM322" s="322">
        <f>SUM(AM324)</f>
        <v>3.61</v>
      </c>
      <c r="AN322" s="322"/>
      <c r="AO322" s="322">
        <f>AO324</f>
        <v>0</v>
      </c>
      <c r="AP322" s="322"/>
      <c r="AQ322" s="322"/>
      <c r="AR322" s="322"/>
      <c r="AS322" s="322"/>
      <c r="AT322" s="322"/>
      <c r="AU322" s="322"/>
      <c r="AV322" s="216"/>
      <c r="AW322" s="192"/>
      <c r="AX322" s="108"/>
      <c r="AY322" s="323"/>
      <c r="AZ322" s="324"/>
      <c r="BA322" s="325"/>
      <c r="BB322" s="325"/>
      <c r="BC322" s="325"/>
      <c r="BD322" s="325"/>
      <c r="BE322" s="326"/>
      <c r="BF322" s="324"/>
      <c r="BG322" s="325"/>
      <c r="BH322" s="325"/>
      <c r="BI322" s="326">
        <f>SUM(BI323:BI324)</f>
        <v>0</v>
      </c>
      <c r="BJ322" s="426">
        <f>BA322-AZ322</f>
        <v>0</v>
      </c>
      <c r="BK322" s="46"/>
      <c r="BL322" s="654"/>
      <c r="BM322" s="469">
        <f>BM324</f>
        <v>3.6139999999999999</v>
      </c>
      <c r="BN322" s="185"/>
      <c r="BO322" s="470"/>
      <c r="BP322" s="471"/>
      <c r="BQ322" s="469"/>
      <c r="BR322" s="655"/>
      <c r="BS322" s="473"/>
      <c r="BT322" s="471"/>
      <c r="BU322" s="469"/>
      <c r="BV322" s="655"/>
      <c r="BW322" s="473"/>
      <c r="BX322" s="656"/>
      <c r="BY322" s="475"/>
      <c r="BZ322" s="320"/>
      <c r="CA322" s="657"/>
      <c r="CB322" s="476"/>
      <c r="CC322" s="307"/>
      <c r="CD322" s="658"/>
      <c r="CE322" s="325"/>
      <c r="CF322" s="478"/>
      <c r="CG322" s="465"/>
      <c r="CH322" s="465"/>
      <c r="CI322" s="465"/>
      <c r="CJ322" s="465"/>
      <c r="CK322" s="465"/>
      <c r="CL322" s="465"/>
      <c r="CM322" s="466"/>
      <c r="CN322" s="466"/>
      <c r="CO322" s="466"/>
      <c r="CP322" s="466"/>
      <c r="CQ322" s="466"/>
      <c r="CR322" s="466"/>
      <c r="CS322" s="466"/>
      <c r="CT322" s="466"/>
      <c r="CU322" s="466"/>
      <c r="CV322" s="466"/>
      <c r="CW322" s="466"/>
      <c r="CX322" s="466"/>
      <c r="CY322" s="466"/>
      <c r="CZ322" s="466"/>
      <c r="DA322" s="323"/>
      <c r="DB322" s="323"/>
      <c r="DC322" s="320"/>
      <c r="DD322" s="320"/>
      <c r="DE322" s="320"/>
    </row>
    <row r="323" spans="1:109" hidden="1">
      <c r="A323" s="47"/>
      <c r="B323" s="48" t="s">
        <v>168</v>
      </c>
      <c r="C323" s="49" t="s">
        <v>54</v>
      </c>
      <c r="D323" s="69"/>
      <c r="E323" s="69"/>
      <c r="F323" s="69"/>
      <c r="G323" s="69"/>
      <c r="H323" s="51"/>
      <c r="I323" s="51"/>
      <c r="J323" s="51"/>
      <c r="K323" s="51"/>
      <c r="L323" s="52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4"/>
      <c r="Y323" s="55"/>
      <c r="Z323" s="52"/>
      <c r="AA323" s="53"/>
      <c r="AB323" s="53"/>
      <c r="AC323" s="53"/>
      <c r="AD323" s="53"/>
      <c r="AE323" s="53"/>
      <c r="AF323" s="53"/>
      <c r="AG323" s="53"/>
      <c r="AH323" s="53"/>
      <c r="AI323" s="53"/>
      <c r="AJ323" s="54"/>
      <c r="AK323" s="56"/>
      <c r="AL323" s="52"/>
      <c r="AM323" s="53"/>
      <c r="AN323" s="53"/>
      <c r="AO323" s="53"/>
      <c r="AP323" s="53"/>
      <c r="AQ323" s="53"/>
      <c r="AR323" s="53"/>
      <c r="AS323" s="53"/>
      <c r="AT323" s="53"/>
      <c r="AU323" s="53"/>
      <c r="AV323" s="54"/>
      <c r="AW323" s="56"/>
      <c r="AX323" s="57"/>
      <c r="AY323" s="77"/>
      <c r="AZ323" s="89"/>
      <c r="BA323" s="50"/>
      <c r="BB323" s="50"/>
      <c r="BC323" s="50"/>
      <c r="BD323" s="50"/>
      <c r="BE323" s="39"/>
      <c r="BF323" s="89"/>
      <c r="BG323" s="50"/>
      <c r="BH323" s="50"/>
      <c r="BI323" s="39">
        <f>AY323</f>
        <v>0</v>
      </c>
      <c r="BJ323" s="59"/>
      <c r="BK323" s="46"/>
      <c r="BL323" s="60"/>
      <c r="BM323" s="61"/>
      <c r="BN323" s="62"/>
      <c r="BO323" s="63"/>
      <c r="BP323" s="64"/>
      <c r="BQ323" s="61"/>
      <c r="BR323" s="65"/>
      <c r="BS323" s="66"/>
      <c r="BT323" s="64"/>
      <c r="BU323" s="61"/>
      <c r="BV323" s="65"/>
      <c r="BW323" s="66"/>
      <c r="BX323" s="67"/>
      <c r="BY323" s="68"/>
      <c r="BZ323" s="69"/>
      <c r="CA323" s="70"/>
      <c r="CB323" s="71"/>
      <c r="CC323" s="72"/>
      <c r="CD323" s="58"/>
      <c r="CE323" s="50"/>
      <c r="CF323" s="73"/>
      <c r="CG323" s="74"/>
      <c r="CH323" s="74"/>
      <c r="CI323" s="74"/>
      <c r="CJ323" s="74"/>
      <c r="CK323" s="74"/>
      <c r="CL323" s="74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7"/>
      <c r="DB323" s="77"/>
      <c r="DC323" s="69"/>
      <c r="DD323" s="69"/>
      <c r="DE323" s="69"/>
    </row>
    <row r="324" spans="1:109" hidden="1">
      <c r="A324" s="177"/>
      <c r="B324" s="48" t="s">
        <v>52</v>
      </c>
      <c r="C324" s="49" t="s">
        <v>54</v>
      </c>
      <c r="D324" s="69"/>
      <c r="E324" s="69"/>
      <c r="F324" s="69"/>
      <c r="G324" s="69"/>
      <c r="H324" s="51"/>
      <c r="I324" s="51"/>
      <c r="J324" s="51"/>
      <c r="K324" s="51"/>
      <c r="L324" s="52"/>
      <c r="M324" s="53">
        <v>5.4249999999999998</v>
      </c>
      <c r="N324" s="53"/>
      <c r="O324" s="53">
        <v>5.43</v>
      </c>
      <c r="P324" s="53"/>
      <c r="Q324" s="53"/>
      <c r="R324" s="53"/>
      <c r="S324" s="53"/>
      <c r="T324" s="53"/>
      <c r="U324" s="53"/>
      <c r="V324" s="53"/>
      <c r="W324" s="53"/>
      <c r="X324" s="54"/>
      <c r="Y324" s="55"/>
      <c r="Z324" s="52"/>
      <c r="AA324" s="53">
        <v>3.61</v>
      </c>
      <c r="AB324" s="53"/>
      <c r="AC324" s="53"/>
      <c r="AD324" s="53"/>
      <c r="AE324" s="53"/>
      <c r="AF324" s="53"/>
      <c r="AG324" s="53"/>
      <c r="AH324" s="53"/>
      <c r="AI324" s="53"/>
      <c r="AJ324" s="54"/>
      <c r="AK324" s="56"/>
      <c r="AL324" s="52"/>
      <c r="AM324" s="53">
        <v>3.61</v>
      </c>
      <c r="AN324" s="53"/>
      <c r="AO324" s="53"/>
      <c r="AP324" s="53"/>
      <c r="AQ324" s="53"/>
      <c r="AR324" s="53"/>
      <c r="AS324" s="53"/>
      <c r="AT324" s="53"/>
      <c r="AU324" s="53"/>
      <c r="AV324" s="54"/>
      <c r="AW324" s="56"/>
      <c r="AX324" s="108"/>
      <c r="AY324" s="77"/>
      <c r="AZ324" s="89"/>
      <c r="BA324" s="50"/>
      <c r="BB324" s="50"/>
      <c r="BC324" s="50"/>
      <c r="BD324" s="50"/>
      <c r="BE324" s="39"/>
      <c r="BF324" s="89"/>
      <c r="BG324" s="50"/>
      <c r="BH324" s="50"/>
      <c r="BI324" s="39">
        <f>AY324</f>
        <v>0</v>
      </c>
      <c r="BJ324" s="426">
        <f t="shared" ref="BJ324:BJ330" si="152">BA324-AZ324</f>
        <v>0</v>
      </c>
      <c r="BK324" s="46"/>
      <c r="BL324" s="60"/>
      <c r="BM324" s="61">
        <v>3.6139999999999999</v>
      </c>
      <c r="BN324" s="62"/>
      <c r="BO324" s="470"/>
      <c r="BP324" s="64"/>
      <c r="BQ324" s="61"/>
      <c r="BR324" s="65"/>
      <c r="BS324" s="66"/>
      <c r="BT324" s="64"/>
      <c r="BU324" s="61"/>
      <c r="BV324" s="65"/>
      <c r="BW324" s="66"/>
      <c r="BX324" s="67"/>
      <c r="BY324" s="68"/>
      <c r="BZ324" s="69">
        <f>M324+BM324+BQ324+BU324</f>
        <v>9.0389999999999997</v>
      </c>
      <c r="CA324" s="70"/>
      <c r="CB324" s="71"/>
      <c r="CC324" s="72">
        <f>BZ324-E324</f>
        <v>9.0389999999999997</v>
      </c>
      <c r="CD324" s="58">
        <v>79.53</v>
      </c>
      <c r="CE324" s="50"/>
      <c r="CF324" s="73"/>
      <c r="CG324" s="74"/>
      <c r="CH324" s="74"/>
      <c r="CI324" s="74"/>
      <c r="CJ324" s="74"/>
      <c r="CK324" s="74"/>
      <c r="CL324" s="74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7"/>
      <c r="DB324" s="77"/>
      <c r="DC324" s="69"/>
      <c r="DD324" s="69"/>
      <c r="DE324" s="69"/>
    </row>
    <row r="325" spans="1:109" hidden="1">
      <c r="A325" s="47" t="s">
        <v>141</v>
      </c>
      <c r="B325" s="48" t="s">
        <v>136</v>
      </c>
      <c r="C325" s="49" t="s">
        <v>54</v>
      </c>
      <c r="D325" s="69"/>
      <c r="E325" s="69"/>
      <c r="F325" s="69"/>
      <c r="G325" s="69"/>
      <c r="H325" s="51"/>
      <c r="I325" s="51"/>
      <c r="J325" s="51"/>
      <c r="K325" s="51"/>
      <c r="L325" s="52"/>
      <c r="M325" s="53">
        <f>SUM(M326)</f>
        <v>5.4249999999999998</v>
      </c>
      <c r="N325" s="53"/>
      <c r="O325" s="53">
        <f>O326</f>
        <v>5.43</v>
      </c>
      <c r="P325" s="53"/>
      <c r="Q325" s="53"/>
      <c r="R325" s="53"/>
      <c r="S325" s="53"/>
      <c r="T325" s="53"/>
      <c r="U325" s="53"/>
      <c r="V325" s="53"/>
      <c r="W325" s="53"/>
      <c r="X325" s="54"/>
      <c r="Y325" s="55"/>
      <c r="Z325" s="52"/>
      <c r="AA325" s="53">
        <f>SUM(AA326)</f>
        <v>3.61</v>
      </c>
      <c r="AB325" s="53"/>
      <c r="AC325" s="53">
        <f>AC326</f>
        <v>0</v>
      </c>
      <c r="AD325" s="53"/>
      <c r="AE325" s="53"/>
      <c r="AF325" s="53"/>
      <c r="AG325" s="53"/>
      <c r="AH325" s="53"/>
      <c r="AI325" s="53"/>
      <c r="AJ325" s="54"/>
      <c r="AK325" s="56"/>
      <c r="AL325" s="52"/>
      <c r="AM325" s="53">
        <f>SUM(AM326)</f>
        <v>3.61</v>
      </c>
      <c r="AN325" s="53"/>
      <c r="AO325" s="53">
        <f>AO326</f>
        <v>0</v>
      </c>
      <c r="AP325" s="53"/>
      <c r="AQ325" s="53"/>
      <c r="AR325" s="53"/>
      <c r="AS325" s="53"/>
      <c r="AT325" s="53"/>
      <c r="AU325" s="53"/>
      <c r="AV325" s="54"/>
      <c r="AW325" s="56"/>
      <c r="AX325" s="57"/>
      <c r="AY325" s="77"/>
      <c r="AZ325" s="89"/>
      <c r="BA325" s="50">
        <f>AY325</f>
        <v>0</v>
      </c>
      <c r="BB325" s="50"/>
      <c r="BC325" s="50"/>
      <c r="BD325" s="50"/>
      <c r="BE325" s="39"/>
      <c r="BF325" s="89"/>
      <c r="BG325" s="50"/>
      <c r="BH325" s="50"/>
      <c r="BI325" s="39">
        <f>SUM(BI326)</f>
        <v>0</v>
      </c>
      <c r="BJ325" s="59">
        <f t="shared" si="152"/>
        <v>0</v>
      </c>
      <c r="BK325" s="46"/>
      <c r="BL325" s="60"/>
      <c r="BM325" s="61">
        <f>BM326</f>
        <v>3.6139999999999999</v>
      </c>
      <c r="BN325" s="62"/>
      <c r="BO325" s="63"/>
      <c r="BP325" s="64"/>
      <c r="BQ325" s="61"/>
      <c r="BR325" s="65"/>
      <c r="BS325" s="66"/>
      <c r="BT325" s="64"/>
      <c r="BU325" s="61"/>
      <c r="BV325" s="65"/>
      <c r="BW325" s="66"/>
      <c r="BX325" s="67"/>
      <c r="BY325" s="68"/>
      <c r="BZ325" s="69"/>
      <c r="CA325" s="70"/>
      <c r="CB325" s="71"/>
      <c r="CC325" s="72"/>
      <c r="CD325" s="58"/>
      <c r="CE325" s="50"/>
      <c r="CF325" s="73"/>
      <c r="CG325" s="74"/>
      <c r="CH325" s="74"/>
      <c r="CI325" s="74"/>
      <c r="CJ325" s="74"/>
      <c r="CK325" s="74"/>
      <c r="CL325" s="74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7"/>
      <c r="DB325" s="77"/>
      <c r="DC325" s="69"/>
      <c r="DD325" s="69"/>
      <c r="DE325" s="69"/>
    </row>
    <row r="326" spans="1:109" hidden="1">
      <c r="A326" s="177"/>
      <c r="B326" s="48" t="s">
        <v>136</v>
      </c>
      <c r="C326" s="49" t="s">
        <v>54</v>
      </c>
      <c r="D326" s="69"/>
      <c r="E326" s="69"/>
      <c r="F326" s="69"/>
      <c r="G326" s="69"/>
      <c r="H326" s="51"/>
      <c r="I326" s="51"/>
      <c r="J326" s="51"/>
      <c r="K326" s="51"/>
      <c r="L326" s="52"/>
      <c r="M326" s="53">
        <v>5.4249999999999998</v>
      </c>
      <c r="N326" s="53"/>
      <c r="O326" s="53">
        <v>5.43</v>
      </c>
      <c r="P326" s="53"/>
      <c r="Q326" s="53"/>
      <c r="R326" s="53"/>
      <c r="S326" s="53"/>
      <c r="T326" s="53"/>
      <c r="U326" s="53"/>
      <c r="V326" s="53"/>
      <c r="W326" s="53"/>
      <c r="X326" s="54"/>
      <c r="Y326" s="55"/>
      <c r="Z326" s="52"/>
      <c r="AA326" s="53">
        <v>3.61</v>
      </c>
      <c r="AB326" s="53"/>
      <c r="AC326" s="53"/>
      <c r="AD326" s="53"/>
      <c r="AE326" s="53"/>
      <c r="AF326" s="53"/>
      <c r="AG326" s="53"/>
      <c r="AH326" s="53"/>
      <c r="AI326" s="53"/>
      <c r="AJ326" s="54"/>
      <c r="AK326" s="56"/>
      <c r="AL326" s="52"/>
      <c r="AM326" s="53">
        <v>3.61</v>
      </c>
      <c r="AN326" s="53"/>
      <c r="AO326" s="53"/>
      <c r="AP326" s="53"/>
      <c r="AQ326" s="53"/>
      <c r="AR326" s="53"/>
      <c r="AS326" s="53"/>
      <c r="AT326" s="53"/>
      <c r="AU326" s="53"/>
      <c r="AV326" s="54"/>
      <c r="AW326" s="56"/>
      <c r="AX326" s="108"/>
      <c r="AY326" s="77"/>
      <c r="AZ326" s="89"/>
      <c r="BA326" s="50">
        <f>AY326</f>
        <v>0</v>
      </c>
      <c r="BB326" s="50"/>
      <c r="BC326" s="50"/>
      <c r="BD326" s="50"/>
      <c r="BE326" s="39"/>
      <c r="BF326" s="89"/>
      <c r="BG326" s="50"/>
      <c r="BH326" s="50"/>
      <c r="BI326" s="39"/>
      <c r="BJ326" s="426">
        <f t="shared" si="152"/>
        <v>0</v>
      </c>
      <c r="BK326" s="46"/>
      <c r="BL326" s="60"/>
      <c r="BM326" s="61">
        <v>3.6139999999999999</v>
      </c>
      <c r="BN326" s="62"/>
      <c r="BO326" s="470"/>
      <c r="BP326" s="64"/>
      <c r="BQ326" s="61"/>
      <c r="BR326" s="65"/>
      <c r="BS326" s="66"/>
      <c r="BT326" s="64"/>
      <c r="BU326" s="61"/>
      <c r="BV326" s="65"/>
      <c r="BW326" s="66"/>
      <c r="BX326" s="67"/>
      <c r="BY326" s="68"/>
      <c r="BZ326" s="69">
        <f>M326+BM326+BQ326+BU326</f>
        <v>9.0389999999999997</v>
      </c>
      <c r="CA326" s="70"/>
      <c r="CB326" s="71"/>
      <c r="CC326" s="72">
        <f>BZ326-E326</f>
        <v>9.0389999999999997</v>
      </c>
      <c r="CD326" s="58">
        <v>79.53</v>
      </c>
      <c r="CE326" s="50"/>
      <c r="CF326" s="73"/>
      <c r="CG326" s="74"/>
      <c r="CH326" s="74"/>
      <c r="CI326" s="74"/>
      <c r="CJ326" s="74"/>
      <c r="CK326" s="74"/>
      <c r="CL326" s="74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7"/>
      <c r="DB326" s="77"/>
      <c r="DC326" s="69"/>
      <c r="DD326" s="69"/>
      <c r="DE326" s="69"/>
    </row>
    <row r="327" spans="1:109" hidden="1">
      <c r="A327" s="177" t="s">
        <v>153</v>
      </c>
      <c r="B327" s="327" t="s">
        <v>103</v>
      </c>
      <c r="C327" s="259" t="s">
        <v>54</v>
      </c>
      <c r="D327" s="320"/>
      <c r="E327" s="320"/>
      <c r="F327" s="320"/>
      <c r="G327" s="320"/>
      <c r="H327" s="181"/>
      <c r="I327" s="181"/>
      <c r="J327" s="181"/>
      <c r="K327" s="181"/>
      <c r="L327" s="321"/>
      <c r="M327" s="322">
        <f>SUM(M328)</f>
        <v>1.81E-3</v>
      </c>
      <c r="N327" s="322"/>
      <c r="O327" s="322"/>
      <c r="P327" s="322"/>
      <c r="Q327" s="322"/>
      <c r="R327" s="322"/>
      <c r="S327" s="322"/>
      <c r="T327" s="322"/>
      <c r="U327" s="322"/>
      <c r="V327" s="322"/>
      <c r="W327" s="322"/>
      <c r="X327" s="216"/>
      <c r="Y327" s="191"/>
      <c r="Z327" s="321"/>
      <c r="AA327" s="322">
        <f>SUM(AA328)</f>
        <v>0</v>
      </c>
      <c r="AB327" s="322"/>
      <c r="AC327" s="322"/>
      <c r="AD327" s="322"/>
      <c r="AE327" s="322"/>
      <c r="AF327" s="322"/>
      <c r="AG327" s="322"/>
      <c r="AH327" s="322"/>
      <c r="AI327" s="322"/>
      <c r="AJ327" s="216"/>
      <c r="AK327" s="192"/>
      <c r="AL327" s="321"/>
      <c r="AM327" s="322">
        <f>SUM(AM328)</f>
        <v>0</v>
      </c>
      <c r="AN327" s="322"/>
      <c r="AO327" s="322"/>
      <c r="AP327" s="322"/>
      <c r="AQ327" s="322"/>
      <c r="AR327" s="322"/>
      <c r="AS327" s="322"/>
      <c r="AT327" s="322"/>
      <c r="AU327" s="322"/>
      <c r="AV327" s="216"/>
      <c r="AW327" s="192"/>
      <c r="AX327" s="108"/>
      <c r="AY327" s="323"/>
      <c r="AZ327" s="324"/>
      <c r="BA327" s="325"/>
      <c r="BB327" s="325"/>
      <c r="BC327" s="325"/>
      <c r="BD327" s="325"/>
      <c r="BE327" s="326"/>
      <c r="BF327" s="324"/>
      <c r="BG327" s="325"/>
      <c r="BH327" s="325"/>
      <c r="BI327" s="326">
        <f>AY327</f>
        <v>0</v>
      </c>
      <c r="BJ327" s="426">
        <f t="shared" si="152"/>
        <v>0</v>
      </c>
      <c r="BK327" s="46"/>
      <c r="BL327" s="654"/>
      <c r="BM327" s="469">
        <f>BM328</f>
        <v>0</v>
      </c>
      <c r="BN327" s="185"/>
      <c r="BO327" s="470"/>
      <c r="BP327" s="471"/>
      <c r="BQ327" s="469"/>
      <c r="BR327" s="655"/>
      <c r="BS327" s="473"/>
      <c r="BT327" s="471"/>
      <c r="BU327" s="469"/>
      <c r="BV327" s="655"/>
      <c r="BW327" s="473"/>
      <c r="BX327" s="656"/>
      <c r="BY327" s="475"/>
      <c r="BZ327" s="320"/>
      <c r="CA327" s="657"/>
      <c r="CB327" s="476"/>
      <c r="CC327" s="307"/>
      <c r="CD327" s="658"/>
      <c r="CE327" s="325"/>
      <c r="CF327" s="478"/>
      <c r="CG327" s="465"/>
      <c r="CH327" s="465"/>
      <c r="CI327" s="465"/>
      <c r="CJ327" s="465"/>
      <c r="CK327" s="465"/>
      <c r="CL327" s="465"/>
      <c r="CM327" s="466"/>
      <c r="CN327" s="466"/>
      <c r="CO327" s="466"/>
      <c r="CP327" s="466"/>
      <c r="CQ327" s="466"/>
      <c r="CR327" s="466"/>
      <c r="CS327" s="466"/>
      <c r="CT327" s="466"/>
      <c r="CU327" s="466"/>
      <c r="CV327" s="466"/>
      <c r="CW327" s="466"/>
      <c r="CX327" s="466"/>
      <c r="CY327" s="466"/>
      <c r="CZ327" s="466"/>
      <c r="DA327" s="323"/>
      <c r="DB327" s="323"/>
      <c r="DC327" s="320"/>
      <c r="DD327" s="320"/>
      <c r="DE327" s="320"/>
    </row>
    <row r="328" spans="1:109" hidden="1">
      <c r="A328" s="194"/>
      <c r="B328" s="328" t="s">
        <v>53</v>
      </c>
      <c r="C328" s="217" t="s">
        <v>54</v>
      </c>
      <c r="D328" s="20"/>
      <c r="E328" s="20"/>
      <c r="F328" s="20"/>
      <c r="G328" s="20"/>
      <c r="H328" s="196"/>
      <c r="I328" s="196"/>
      <c r="J328" s="196"/>
      <c r="K328" s="196"/>
      <c r="L328" s="329"/>
      <c r="M328" s="330">
        <v>1.81E-3</v>
      </c>
      <c r="N328" s="330"/>
      <c r="O328" s="330"/>
      <c r="P328" s="330"/>
      <c r="Q328" s="330"/>
      <c r="R328" s="330"/>
      <c r="S328" s="330"/>
      <c r="T328" s="330"/>
      <c r="U328" s="330"/>
      <c r="V328" s="330"/>
      <c r="W328" s="330"/>
      <c r="X328" s="218"/>
      <c r="Y328" s="197"/>
      <c r="Z328" s="329"/>
      <c r="AA328" s="330"/>
      <c r="AB328" s="330"/>
      <c r="AC328" s="330"/>
      <c r="AD328" s="330"/>
      <c r="AE328" s="330"/>
      <c r="AF328" s="330"/>
      <c r="AG328" s="330"/>
      <c r="AH328" s="330"/>
      <c r="AI328" s="330"/>
      <c r="AJ328" s="218"/>
      <c r="AK328" s="198"/>
      <c r="AL328" s="329"/>
      <c r="AM328" s="330"/>
      <c r="AN328" s="330"/>
      <c r="AO328" s="330"/>
      <c r="AP328" s="330"/>
      <c r="AQ328" s="330"/>
      <c r="AR328" s="330"/>
      <c r="AS328" s="330"/>
      <c r="AT328" s="330"/>
      <c r="AU328" s="330"/>
      <c r="AV328" s="218"/>
      <c r="AW328" s="198"/>
      <c r="AX328" s="287"/>
      <c r="AY328" s="95"/>
      <c r="AZ328" s="331"/>
      <c r="BA328" s="332"/>
      <c r="BB328" s="332"/>
      <c r="BC328" s="332"/>
      <c r="BD328" s="332"/>
      <c r="BE328" s="333"/>
      <c r="BF328" s="331"/>
      <c r="BG328" s="332"/>
      <c r="BH328" s="332"/>
      <c r="BI328" s="333">
        <f>AY328</f>
        <v>0</v>
      </c>
      <c r="BJ328" s="435">
        <f t="shared" si="152"/>
        <v>0</v>
      </c>
      <c r="BK328" s="482"/>
      <c r="BL328" s="659"/>
      <c r="BM328" s="483"/>
      <c r="BN328" s="150"/>
      <c r="BO328" s="484"/>
      <c r="BP328" s="485"/>
      <c r="BQ328" s="483"/>
      <c r="BR328" s="486"/>
      <c r="BS328" s="487"/>
      <c r="BT328" s="485"/>
      <c r="BU328" s="483"/>
      <c r="BV328" s="486"/>
      <c r="BW328" s="487"/>
      <c r="BX328" s="660"/>
      <c r="BY328" s="488"/>
      <c r="BZ328" s="489">
        <f>M328+BM328+BQ328+BU328</f>
        <v>1.81E-3</v>
      </c>
      <c r="CA328" s="490"/>
      <c r="CB328" s="491"/>
      <c r="CC328" s="246">
        <f t="shared" ref="CC328:CC335" si="153">BZ328-E328</f>
        <v>1.81E-3</v>
      </c>
      <c r="CD328" s="661">
        <v>25.91</v>
      </c>
      <c r="CE328" s="332"/>
      <c r="CF328" s="492"/>
      <c r="CG328" s="74"/>
      <c r="CH328" s="74"/>
      <c r="CI328" s="74"/>
      <c r="CJ328" s="74"/>
      <c r="CK328" s="74"/>
      <c r="CL328" s="74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95"/>
      <c r="DB328" s="95"/>
      <c r="DC328" s="20"/>
      <c r="DD328" s="20"/>
      <c r="DE328" s="20"/>
    </row>
    <row r="329" spans="1:109" hidden="1">
      <c r="A329" s="267"/>
      <c r="B329" s="334" t="s">
        <v>238</v>
      </c>
      <c r="C329" s="335"/>
      <c r="D329" s="83"/>
      <c r="E329" s="83"/>
      <c r="F329" s="83"/>
      <c r="G329" s="83"/>
      <c r="H329" s="83"/>
      <c r="I329" s="83"/>
      <c r="J329" s="83"/>
      <c r="K329" s="83"/>
      <c r="L329" s="33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337"/>
      <c r="Y329" s="338"/>
      <c r="Z329" s="336"/>
      <c r="AA329" s="96"/>
      <c r="AB329" s="96"/>
      <c r="AC329" s="96"/>
      <c r="AD329" s="96"/>
      <c r="AE329" s="96"/>
      <c r="AF329" s="96"/>
      <c r="AG329" s="96"/>
      <c r="AH329" s="96"/>
      <c r="AI329" s="96"/>
      <c r="AJ329" s="337"/>
      <c r="AK329" s="339"/>
      <c r="AL329" s="336"/>
      <c r="AM329" s="96"/>
      <c r="AN329" s="96"/>
      <c r="AO329" s="96"/>
      <c r="AP329" s="96"/>
      <c r="AQ329" s="96"/>
      <c r="AR329" s="96"/>
      <c r="AS329" s="96"/>
      <c r="AT329" s="96"/>
      <c r="AU329" s="96"/>
      <c r="AV329" s="337"/>
      <c r="AW329" s="339"/>
      <c r="AX329" s="274"/>
      <c r="AY329" s="96"/>
      <c r="AZ329" s="340"/>
      <c r="BA329" s="341"/>
      <c r="BB329" s="341"/>
      <c r="BC329" s="341"/>
      <c r="BD329" s="341"/>
      <c r="BE329" s="342"/>
      <c r="BF329" s="340"/>
      <c r="BG329" s="341"/>
      <c r="BH329" s="341"/>
      <c r="BI329" s="333">
        <f>AY329</f>
        <v>0</v>
      </c>
      <c r="BJ329" s="601"/>
      <c r="BK329" s="662"/>
      <c r="BL329" s="663"/>
      <c r="BM329" s="606"/>
      <c r="BN329" s="276"/>
      <c r="BO329" s="604"/>
      <c r="BP329" s="605"/>
      <c r="BQ329" s="606"/>
      <c r="BR329" s="607"/>
      <c r="BS329" s="608"/>
      <c r="BT329" s="605"/>
      <c r="BU329" s="606"/>
      <c r="BV329" s="607"/>
      <c r="BW329" s="608"/>
      <c r="BX329" s="664"/>
      <c r="BY329" s="610"/>
      <c r="BZ329" s="83"/>
      <c r="CA329" s="611"/>
      <c r="CB329" s="612"/>
      <c r="CC329" s="269"/>
      <c r="CD329" s="665"/>
      <c r="CE329" s="341"/>
      <c r="CF329" s="615"/>
      <c r="CG329" s="616"/>
      <c r="CH329" s="616"/>
      <c r="CI329" s="616"/>
      <c r="CJ329" s="616"/>
      <c r="CK329" s="616"/>
      <c r="CL329" s="616"/>
      <c r="CM329" s="617"/>
      <c r="CN329" s="617"/>
      <c r="CO329" s="617"/>
      <c r="CP329" s="617"/>
      <c r="CQ329" s="617"/>
      <c r="CR329" s="617"/>
      <c r="CS329" s="617"/>
      <c r="CT329" s="617"/>
      <c r="CU329" s="617"/>
      <c r="CV329" s="617"/>
      <c r="CW329" s="617"/>
      <c r="CX329" s="617"/>
      <c r="CY329" s="617"/>
      <c r="CZ329" s="617"/>
      <c r="DA329" s="96"/>
      <c r="DB329" s="96"/>
      <c r="DC329" s="83"/>
      <c r="DD329" s="83"/>
      <c r="DE329" s="83"/>
    </row>
    <row r="330" spans="1:109">
      <c r="A330" s="208" t="s">
        <v>274</v>
      </c>
      <c r="B330" s="153" t="s">
        <v>45</v>
      </c>
      <c r="C330" s="397" t="s">
        <v>54</v>
      </c>
      <c r="D330" s="162">
        <f>SUM(D166,D167,D296)</f>
        <v>42177.901579999991</v>
      </c>
      <c r="E330" s="162">
        <f>SUM(E166,E167,E296)</f>
        <v>44826.081580000013</v>
      </c>
      <c r="F330" s="162">
        <f>SUM(F166,F167,F296)</f>
        <v>45643.427090000005</v>
      </c>
      <c r="G330" s="162">
        <f>SUM(G166,G167,G296)</f>
        <v>45643.431749999996</v>
      </c>
      <c r="H330" s="162" t="e">
        <f>H166+H167+H263+H296</f>
        <v>#REF!</v>
      </c>
      <c r="I330" s="162" t="e">
        <f>I166+I167+I263+I296</f>
        <v>#REF!</v>
      </c>
      <c r="J330" s="162" t="e">
        <f>J166+J167+J263+J296</f>
        <v>#REF!</v>
      </c>
      <c r="K330" s="162" t="e">
        <f>K166+K167+K263+K296</f>
        <v>#REF!</v>
      </c>
      <c r="L330" s="162" t="e">
        <f>L166+L167+L296</f>
        <v>#REF!</v>
      </c>
      <c r="M330" s="162" t="e">
        <f>M166+M167+M263+M296</f>
        <v>#REF!</v>
      </c>
      <c r="N330" s="162">
        <v>1233.26</v>
      </c>
      <c r="O330" s="162">
        <v>1287.94</v>
      </c>
      <c r="P330" s="162">
        <v>137.03</v>
      </c>
      <c r="Q330" s="162">
        <v>132.13999999999999</v>
      </c>
      <c r="R330" s="162">
        <v>1232.47</v>
      </c>
      <c r="S330" s="162">
        <v>1058.58</v>
      </c>
      <c r="T330" s="162" t="e">
        <f>T166+T167+T296</f>
        <v>#REF!</v>
      </c>
      <c r="U330" s="162" t="e">
        <f>U166+U167+U296</f>
        <v>#REF!</v>
      </c>
      <c r="V330" s="162" t="e">
        <f>V166</f>
        <v>#REF!</v>
      </c>
      <c r="W330" s="162">
        <f>W263</f>
        <v>185.20000000000002</v>
      </c>
      <c r="X330" s="209">
        <f>O330-N330</f>
        <v>54.680000000000064</v>
      </c>
      <c r="Y330" s="210">
        <f>O330/N330</f>
        <v>1.0443377714350583</v>
      </c>
      <c r="Z330" s="162" t="e">
        <f>Z166+Z167+Z296</f>
        <v>#REF!</v>
      </c>
      <c r="AA330" s="162" t="e">
        <f>AA166+AA167+AA263+AA296</f>
        <v>#REF!</v>
      </c>
      <c r="AB330" s="162" t="e">
        <f t="shared" ref="AB330:AG330" si="154">AB166+AB167+AB296</f>
        <v>#REF!</v>
      </c>
      <c r="AC330" s="162" t="e">
        <f t="shared" si="154"/>
        <v>#REF!</v>
      </c>
      <c r="AD330" s="162" t="e">
        <f t="shared" si="154"/>
        <v>#REF!</v>
      </c>
      <c r="AE330" s="162" t="e">
        <f t="shared" si="154"/>
        <v>#REF!</v>
      </c>
      <c r="AF330" s="162" t="e">
        <f t="shared" si="154"/>
        <v>#REF!</v>
      </c>
      <c r="AG330" s="162" t="e">
        <f t="shared" si="154"/>
        <v>#REF!</v>
      </c>
      <c r="AH330" s="162" t="e">
        <f>AH166</f>
        <v>#REF!</v>
      </c>
      <c r="AI330" s="162">
        <f>AI263</f>
        <v>0</v>
      </c>
      <c r="AJ330" s="209" t="e">
        <f>AC330-AB330</f>
        <v>#REF!</v>
      </c>
      <c r="AK330" s="211" t="e">
        <f>AC330/AB330</f>
        <v>#REF!</v>
      </c>
      <c r="AL330" s="162" t="e">
        <f>AL166+AL167+AL296</f>
        <v>#REF!</v>
      </c>
      <c r="AM330" s="162" t="e">
        <f>AM166+AM167+AM263+AM296</f>
        <v>#REF!</v>
      </c>
      <c r="AN330" s="162" t="e">
        <f t="shared" ref="AN330:AS330" si="155">AN166+AN167+AN296</f>
        <v>#REF!</v>
      </c>
      <c r="AO330" s="162" t="e">
        <f t="shared" si="155"/>
        <v>#REF!</v>
      </c>
      <c r="AP330" s="162" t="e">
        <f t="shared" si="155"/>
        <v>#REF!</v>
      </c>
      <c r="AQ330" s="162" t="e">
        <f t="shared" si="155"/>
        <v>#REF!</v>
      </c>
      <c r="AR330" s="162" t="e">
        <f t="shared" si="155"/>
        <v>#REF!</v>
      </c>
      <c r="AS330" s="162" t="e">
        <f t="shared" si="155"/>
        <v>#REF!</v>
      </c>
      <c r="AT330" s="162" t="e">
        <f>AT166</f>
        <v>#REF!</v>
      </c>
      <c r="AU330" s="162">
        <f>AU263</f>
        <v>0</v>
      </c>
      <c r="AV330" s="209" t="e">
        <f>AO330-AN330</f>
        <v>#REF!</v>
      </c>
      <c r="AW330" s="211" t="e">
        <f>AO330/AN330</f>
        <v>#REF!</v>
      </c>
      <c r="AX330" s="117">
        <f>AX166+AX167+AX296</f>
        <v>23130.595874999999</v>
      </c>
      <c r="AY330" s="162">
        <f>AY166+AY167+AY263+AY296</f>
        <v>38605.360999999983</v>
      </c>
      <c r="AZ330" s="343" t="e">
        <f>AZ166+AZ167+AZ296</f>
        <v>#REF!</v>
      </c>
      <c r="BA330" s="344">
        <f t="shared" ref="BA330:BH330" si="156">SUM(BA166,BA167,BA263,BA296)</f>
        <v>18883.160000000003</v>
      </c>
      <c r="BB330" s="344">
        <f t="shared" si="156"/>
        <v>63.75</v>
      </c>
      <c r="BC330" s="344">
        <f t="shared" si="156"/>
        <v>10527.135499999991</v>
      </c>
      <c r="BD330" s="344">
        <f t="shared" si="156"/>
        <v>0</v>
      </c>
      <c r="BE330" s="345">
        <f t="shared" si="156"/>
        <v>2469.2799999999997</v>
      </c>
      <c r="BF330" s="343">
        <f t="shared" si="156"/>
        <v>2090.9560900000001</v>
      </c>
      <c r="BG330" s="344">
        <f t="shared" si="156"/>
        <v>1618.0690500000001</v>
      </c>
      <c r="BH330" s="344">
        <f t="shared" si="156"/>
        <v>-247.29414</v>
      </c>
      <c r="BI330" s="345">
        <f>SUM(BI296)</f>
        <v>0</v>
      </c>
      <c r="BJ330" s="288" t="e">
        <f t="shared" si="152"/>
        <v>#REF!</v>
      </c>
      <c r="BK330" s="515" t="e">
        <f>BA330/AZ330</f>
        <v>#REF!</v>
      </c>
      <c r="BL330" s="666"/>
      <c r="BM330" s="516" t="e">
        <f>BM166+BM167+BM263+BM296</f>
        <v>#REF!</v>
      </c>
      <c r="BN330" s="122"/>
      <c r="BO330" s="409"/>
      <c r="BP330" s="448"/>
      <c r="BQ330" s="516"/>
      <c r="BR330" s="517"/>
      <c r="BS330" s="518"/>
      <c r="BT330" s="448"/>
      <c r="BU330" s="516"/>
      <c r="BV330" s="517"/>
      <c r="BW330" s="518"/>
      <c r="BX330" s="667" t="e">
        <f>BX166+BX167+BX296</f>
        <v>#REF!</v>
      </c>
      <c r="BY330" s="449">
        <f t="shared" ref="BY330:BY340" si="157">F330</f>
        <v>45643.427090000005</v>
      </c>
      <c r="BZ330" s="209" t="e">
        <f t="shared" ref="BZ330:BZ335" si="158">M330+BM330+BQ330+BU330</f>
        <v>#REF!</v>
      </c>
      <c r="CA330" s="516" t="e">
        <f t="shared" ref="CA330:CA340" si="159">BZ330-BY330</f>
        <v>#REF!</v>
      </c>
      <c r="CB330" s="515" t="e">
        <f t="shared" ref="CB330:CB340" si="160">BZ330/BY330</f>
        <v>#REF!</v>
      </c>
      <c r="CC330" s="444" t="e">
        <f t="shared" si="153"/>
        <v>#REF!</v>
      </c>
      <c r="CD330" s="668" t="e">
        <f>CD166+CD167+CD296</f>
        <v>#REF!</v>
      </c>
      <c r="CE330" s="344" t="e">
        <f>CE166+CE167+CE263+CE296</f>
        <v>#REF!</v>
      </c>
      <c r="CF330" s="519">
        <f>CF263</f>
        <v>627.39329999999995</v>
      </c>
      <c r="CG330" s="450"/>
      <c r="CH330" s="450"/>
      <c r="CI330" s="450"/>
      <c r="CJ330" s="450"/>
      <c r="CK330" s="450"/>
      <c r="CL330" s="450"/>
      <c r="CM330" s="451"/>
      <c r="CN330" s="451"/>
      <c r="CO330" s="451"/>
      <c r="CP330" s="451"/>
      <c r="CQ330" s="451"/>
      <c r="CR330" s="451"/>
      <c r="CS330" s="451"/>
      <c r="CT330" s="451"/>
      <c r="CU330" s="451"/>
      <c r="CV330" s="451"/>
      <c r="CW330" s="451"/>
      <c r="CX330" s="451"/>
      <c r="CY330" s="451"/>
      <c r="CZ330" s="451"/>
      <c r="DA330" s="162" t="e">
        <f>DA166+DA167+DA263+DA296</f>
        <v>#REF!</v>
      </c>
      <c r="DB330" s="162">
        <f>DB166+DB167+DB263+DB296</f>
        <v>47094.463710000004</v>
      </c>
      <c r="DC330" s="162">
        <f>SUM(DC166,DC167,DC296)</f>
        <v>45021.787749999996</v>
      </c>
      <c r="DD330" s="162">
        <f>SUM(DD166,DD167,DD296)</f>
        <v>40745.844749999997</v>
      </c>
      <c r="DE330" s="162">
        <f>SUM(DE166,DE167,DE296)</f>
        <v>45275.347709999995</v>
      </c>
    </row>
    <row r="331" spans="1:109">
      <c r="A331" s="165"/>
      <c r="B331" s="316" t="s">
        <v>188</v>
      </c>
      <c r="C331" s="346" t="s">
        <v>54</v>
      </c>
      <c r="D331" s="347">
        <f t="shared" ref="D331:I331" si="161">D28-D330</f>
        <v>2967.6784200000111</v>
      </c>
      <c r="E331" s="347">
        <f t="shared" si="161"/>
        <v>2146.9184199999872</v>
      </c>
      <c r="F331" s="347">
        <f t="shared" si="161"/>
        <v>2195.9629099999947</v>
      </c>
      <c r="G331" s="347">
        <f t="shared" si="161"/>
        <v>2195.9582500000033</v>
      </c>
      <c r="H331" s="348" t="e">
        <f t="shared" si="161"/>
        <v>#REF!</v>
      </c>
      <c r="I331" s="348" t="e">
        <f t="shared" si="161"/>
        <v>#REF!</v>
      </c>
      <c r="J331" s="348"/>
      <c r="K331" s="348"/>
      <c r="L331" s="348"/>
      <c r="M331" s="348" t="e">
        <f>M28-M330</f>
        <v>#REF!</v>
      </c>
      <c r="N331" s="348"/>
      <c r="O331" s="348">
        <f>O28-O330</f>
        <v>240.30332599999997</v>
      </c>
      <c r="P331" s="348"/>
      <c r="Q331" s="348"/>
      <c r="R331" s="348"/>
      <c r="S331" s="348">
        <f>S28-S330</f>
        <v>-824.96444899999995</v>
      </c>
      <c r="T331" s="348"/>
      <c r="U331" s="348" t="e">
        <f>U28-U330</f>
        <v>#REF!</v>
      </c>
      <c r="V331" s="348" t="e">
        <f>V28-V330</f>
        <v>#REF!</v>
      </c>
      <c r="W331" s="348">
        <f>W28-W330</f>
        <v>-15.110000000000014</v>
      </c>
      <c r="X331" s="349"/>
      <c r="Y331" s="350"/>
      <c r="Z331" s="348"/>
      <c r="AA331" s="348" t="e">
        <f>AA28-AA330</f>
        <v>#REF!</v>
      </c>
      <c r="AB331" s="348"/>
      <c r="AC331" s="348" t="e">
        <f>AC28-AC330</f>
        <v>#REF!</v>
      </c>
      <c r="AD331" s="348"/>
      <c r="AE331" s="348" t="e">
        <f>AE28-AE330</f>
        <v>#REF!</v>
      </c>
      <c r="AF331" s="348"/>
      <c r="AG331" s="348" t="e">
        <f>AG28-AG330</f>
        <v>#REF!</v>
      </c>
      <c r="AH331" s="348" t="e">
        <f>AH28-AH330</f>
        <v>#REF!</v>
      </c>
      <c r="AI331" s="348">
        <f>AI28-AI330</f>
        <v>0</v>
      </c>
      <c r="AJ331" s="349"/>
      <c r="AK331" s="351"/>
      <c r="AL331" s="348"/>
      <c r="AM331" s="348" t="e">
        <f>AM28-AM330</f>
        <v>#REF!</v>
      </c>
      <c r="AN331" s="348"/>
      <c r="AO331" s="348" t="e">
        <f>AO28-AO330</f>
        <v>#REF!</v>
      </c>
      <c r="AP331" s="348"/>
      <c r="AQ331" s="348" t="e">
        <f>AQ28-AQ330</f>
        <v>#REF!</v>
      </c>
      <c r="AR331" s="348"/>
      <c r="AS331" s="348" t="e">
        <f>AS28-AS330</f>
        <v>#REF!</v>
      </c>
      <c r="AT331" s="348" t="e">
        <f>AT28-AT330</f>
        <v>#REF!</v>
      </c>
      <c r="AU331" s="348">
        <f>AU28-AU330</f>
        <v>0</v>
      </c>
      <c r="AV331" s="349"/>
      <c r="AW331" s="351"/>
      <c r="AX331" s="94">
        <f t="shared" ref="AX331:BI331" si="162">AX28-AX330</f>
        <v>789.09912500000064</v>
      </c>
      <c r="AY331" s="94">
        <f t="shared" si="162"/>
        <v>269.78900000001886</v>
      </c>
      <c r="AZ331" s="352" t="e">
        <f t="shared" si="162"/>
        <v>#REF!</v>
      </c>
      <c r="BA331" s="353">
        <f t="shared" si="162"/>
        <v>4054.3699999999953</v>
      </c>
      <c r="BB331" s="353">
        <f t="shared" si="162"/>
        <v>3128.75</v>
      </c>
      <c r="BC331" s="353">
        <f t="shared" si="162"/>
        <v>2831.5245000000086</v>
      </c>
      <c r="BD331" s="353">
        <f t="shared" si="162"/>
        <v>0</v>
      </c>
      <c r="BE331" s="354">
        <f t="shared" si="162"/>
        <v>109.68000000000029</v>
      </c>
      <c r="BF331" s="352">
        <f t="shared" si="162"/>
        <v>-2090.9560900000001</v>
      </c>
      <c r="BG331" s="353">
        <f t="shared" si="162"/>
        <v>-1618.0690500000001</v>
      </c>
      <c r="BH331" s="353">
        <f t="shared" si="162"/>
        <v>247.29414</v>
      </c>
      <c r="BI331" s="354">
        <f t="shared" si="162"/>
        <v>0</v>
      </c>
      <c r="BJ331" s="417"/>
      <c r="BK331" s="574"/>
      <c r="BL331" s="669"/>
      <c r="BM331" s="568" t="e">
        <f>BM28-BM330</f>
        <v>#REF!</v>
      </c>
      <c r="BN331" s="103"/>
      <c r="BO331" s="455"/>
      <c r="BP331" s="567"/>
      <c r="BQ331" s="568"/>
      <c r="BR331" s="670"/>
      <c r="BS331" s="570"/>
      <c r="BT331" s="567"/>
      <c r="BU331" s="568"/>
      <c r="BV331" s="670"/>
      <c r="BW331" s="570"/>
      <c r="BX331" s="653" t="e">
        <f>BX28+#REF!-BX330-#REF!</f>
        <v>#REF!</v>
      </c>
      <c r="BY331" s="571">
        <f t="shared" si="157"/>
        <v>2195.9629099999947</v>
      </c>
      <c r="BZ331" s="572" t="e">
        <f t="shared" si="158"/>
        <v>#REF!</v>
      </c>
      <c r="CA331" s="568" t="e">
        <f t="shared" si="159"/>
        <v>#REF!</v>
      </c>
      <c r="CB331" s="574" t="e">
        <f t="shared" si="160"/>
        <v>#REF!</v>
      </c>
      <c r="CC331" s="93" t="e">
        <f t="shared" si="153"/>
        <v>#REF!</v>
      </c>
      <c r="CD331" s="347" t="e">
        <f>CD28-CD330</f>
        <v>#REF!</v>
      </c>
      <c r="CE331" s="353" t="e">
        <f>CE28-CE330</f>
        <v>#REF!</v>
      </c>
      <c r="CF331" s="575">
        <f>CF28-CF330</f>
        <v>1749.3667000000003</v>
      </c>
      <c r="CG331" s="74"/>
      <c r="CH331" s="74"/>
      <c r="CI331" s="74"/>
      <c r="CJ331" s="74"/>
      <c r="CK331" s="74"/>
      <c r="CL331" s="74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94" t="e">
        <f>DA28-DA330</f>
        <v>#REF!</v>
      </c>
      <c r="DB331" s="94">
        <f>DB28-DB330</f>
        <v>3098.9262899999958</v>
      </c>
      <c r="DC331" s="347">
        <f>DC28-DC330</f>
        <v>3256.6122500000129</v>
      </c>
      <c r="DD331" s="347">
        <f>DD28-DD330</f>
        <v>1378.445249999997</v>
      </c>
      <c r="DE331" s="776">
        <f>DE28-DE330</f>
        <v>3003.0522900000142</v>
      </c>
    </row>
    <row r="332" spans="1:109" ht="24">
      <c r="A332" s="177"/>
      <c r="B332" s="48" t="s">
        <v>299</v>
      </c>
      <c r="C332" s="355" t="s">
        <v>54</v>
      </c>
      <c r="D332" s="77">
        <f>SUM(D330,D331)</f>
        <v>45145.58</v>
      </c>
      <c r="E332" s="77">
        <f>SUM(E330,E331)</f>
        <v>46973</v>
      </c>
      <c r="F332" s="77">
        <f>SUM(F330,F331)</f>
        <v>47839.39</v>
      </c>
      <c r="G332" s="77">
        <f>SUM(G330,G331)</f>
        <v>47839.39</v>
      </c>
      <c r="H332" s="53" t="e">
        <f>H330</f>
        <v>#REF!</v>
      </c>
      <c r="I332" s="53" t="e">
        <f>I330</f>
        <v>#REF!</v>
      </c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1"/>
      <c r="Y332" s="55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1"/>
      <c r="AK332" s="56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1"/>
      <c r="AW332" s="56"/>
      <c r="AX332" s="77">
        <f t="shared" ref="AX332:BE332" si="163">AX330</f>
        <v>23130.595874999999</v>
      </c>
      <c r="AY332" s="77">
        <f>SUM(AY330,AY331)</f>
        <v>38875.15</v>
      </c>
      <c r="AZ332" s="89" t="e">
        <f t="shared" si="163"/>
        <v>#REF!</v>
      </c>
      <c r="BA332" s="50">
        <f>BA330</f>
        <v>18883.160000000003</v>
      </c>
      <c r="BB332" s="50">
        <f>SUM(BB330,BB331)</f>
        <v>3192.5</v>
      </c>
      <c r="BC332" s="50">
        <f>BC330</f>
        <v>10527.135499999991</v>
      </c>
      <c r="BD332" s="50">
        <f t="shared" si="163"/>
        <v>0</v>
      </c>
      <c r="BE332" s="39">
        <f t="shared" si="163"/>
        <v>2469.2799999999997</v>
      </c>
      <c r="BF332" s="89">
        <f>BF330</f>
        <v>2090.9560900000001</v>
      </c>
      <c r="BG332" s="50">
        <f>BG330</f>
        <v>1618.0690500000001</v>
      </c>
      <c r="BH332" s="50">
        <f>BH330</f>
        <v>-247.29414</v>
      </c>
      <c r="BI332" s="39">
        <f>BI330</f>
        <v>0</v>
      </c>
      <c r="BJ332" s="426"/>
      <c r="BK332" s="71"/>
      <c r="BL332" s="671"/>
      <c r="BM332" s="61"/>
      <c r="BN332" s="62"/>
      <c r="BO332" s="470"/>
      <c r="BP332" s="64"/>
      <c r="BQ332" s="61"/>
      <c r="BR332" s="479"/>
      <c r="BS332" s="66"/>
      <c r="BT332" s="64"/>
      <c r="BU332" s="61"/>
      <c r="BV332" s="479"/>
      <c r="BW332" s="66"/>
      <c r="BX332" s="67" t="e">
        <f>BX330</f>
        <v>#REF!</v>
      </c>
      <c r="BY332" s="68">
        <f t="shared" si="157"/>
        <v>47839.39</v>
      </c>
      <c r="BZ332" s="69">
        <f t="shared" si="158"/>
        <v>0</v>
      </c>
      <c r="CA332" s="61">
        <f t="shared" si="159"/>
        <v>-47839.39</v>
      </c>
      <c r="CB332" s="71">
        <f t="shared" si="160"/>
        <v>0</v>
      </c>
      <c r="CC332" s="72">
        <f t="shared" si="153"/>
        <v>-46973</v>
      </c>
      <c r="CD332" s="58" t="e">
        <f>CD330</f>
        <v>#REF!</v>
      </c>
      <c r="CE332" s="50" t="e">
        <f>CE330</f>
        <v>#REF!</v>
      </c>
      <c r="CF332" s="73">
        <f>CF330</f>
        <v>627.39329999999995</v>
      </c>
      <c r="CG332" s="74"/>
      <c r="CH332" s="74"/>
      <c r="CI332" s="74"/>
      <c r="CJ332" s="74"/>
      <c r="CK332" s="74"/>
      <c r="CL332" s="74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7" t="e">
        <f>SUM(DA330,DA331)</f>
        <v>#REF!</v>
      </c>
      <c r="DB332" s="77">
        <f>SUM(DB330,DB331)</f>
        <v>50193.39</v>
      </c>
      <c r="DC332" s="77">
        <f>SUM(DC330,DC331)</f>
        <v>48278.400000000009</v>
      </c>
      <c r="DD332" s="77">
        <f>SUM(DD330,DD331)</f>
        <v>42124.289999999994</v>
      </c>
      <c r="DE332" s="77">
        <f>SUM(DE330,DE331)</f>
        <v>48278.400000000009</v>
      </c>
    </row>
    <row r="333" spans="1:109">
      <c r="A333" s="177"/>
      <c r="B333" s="48" t="s">
        <v>289</v>
      </c>
      <c r="C333" s="355" t="s">
        <v>54</v>
      </c>
      <c r="D333" s="77">
        <v>1354.37</v>
      </c>
      <c r="E333" s="77">
        <v>1338.73</v>
      </c>
      <c r="F333" s="77">
        <v>1387.77</v>
      </c>
      <c r="G333" s="77">
        <v>1387.77</v>
      </c>
      <c r="H333" s="53">
        <v>592.11</v>
      </c>
      <c r="I333" s="53">
        <v>383.1</v>
      </c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1"/>
      <c r="Y333" s="55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1"/>
      <c r="AK333" s="56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1"/>
      <c r="AW333" s="56"/>
      <c r="AX333" s="77">
        <f>G333/2</f>
        <v>693.88499999999999</v>
      </c>
      <c r="AY333" s="77">
        <v>1156.8</v>
      </c>
      <c r="AZ333" s="89"/>
      <c r="BA333" s="50">
        <v>661.61</v>
      </c>
      <c r="BB333" s="50"/>
      <c r="BC333" s="50">
        <v>280.45</v>
      </c>
      <c r="BD333" s="50"/>
      <c r="BE333" s="39">
        <v>58.72</v>
      </c>
      <c r="BF333" s="89">
        <v>89.2</v>
      </c>
      <c r="BG333" s="50">
        <v>43.12</v>
      </c>
      <c r="BH333" s="50"/>
      <c r="BI333" s="39"/>
      <c r="BJ333" s="426"/>
      <c r="BK333" s="71"/>
      <c r="BL333" s="671"/>
      <c r="BM333" s="61"/>
      <c r="BN333" s="62"/>
      <c r="BO333" s="470"/>
      <c r="BP333" s="64"/>
      <c r="BQ333" s="61"/>
      <c r="BR333" s="479"/>
      <c r="BS333" s="66"/>
      <c r="BT333" s="64"/>
      <c r="BU333" s="61"/>
      <c r="BV333" s="479"/>
      <c r="BW333" s="66"/>
      <c r="BX333" s="67" t="e">
        <f>(BX28+#REF!)*0.06/2</f>
        <v>#REF!</v>
      </c>
      <c r="BY333" s="68">
        <f t="shared" si="157"/>
        <v>1387.77</v>
      </c>
      <c r="BZ333" s="69">
        <f t="shared" si="158"/>
        <v>0</v>
      </c>
      <c r="CA333" s="61">
        <f t="shared" si="159"/>
        <v>-1387.77</v>
      </c>
      <c r="CB333" s="71">
        <f t="shared" si="160"/>
        <v>0</v>
      </c>
      <c r="CC333" s="72">
        <f t="shared" si="153"/>
        <v>-1338.73</v>
      </c>
      <c r="CD333" s="58">
        <f>BZ333-CE333</f>
        <v>-60.82</v>
      </c>
      <c r="CE333" s="50">
        <v>60.82</v>
      </c>
      <c r="CF333" s="73"/>
      <c r="CG333" s="74"/>
      <c r="CH333" s="74"/>
      <c r="CI333" s="74"/>
      <c r="CJ333" s="74"/>
      <c r="CK333" s="74"/>
      <c r="CL333" s="74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7">
        <v>1338.73</v>
      </c>
      <c r="DB333" s="77">
        <v>1505.8</v>
      </c>
      <c r="DC333" s="77">
        <f>(DC28*6/100)/2</f>
        <v>1448.3520000000001</v>
      </c>
      <c r="DD333" s="77">
        <f>(DD28*6/100)/2</f>
        <v>1263.7286999999999</v>
      </c>
      <c r="DE333" s="77">
        <f>(DE28*6/100)/2</f>
        <v>1448.3520000000001</v>
      </c>
    </row>
    <row r="334" spans="1:109">
      <c r="A334" s="194"/>
      <c r="B334" s="328" t="s">
        <v>74</v>
      </c>
      <c r="C334" s="356" t="s">
        <v>54</v>
      </c>
      <c r="D334" s="76"/>
      <c r="E334" s="76"/>
      <c r="F334" s="76"/>
      <c r="G334" s="76"/>
      <c r="H334" s="330"/>
      <c r="I334" s="330"/>
      <c r="J334" s="330"/>
      <c r="K334" s="330"/>
      <c r="L334" s="330"/>
      <c r="M334" s="330"/>
      <c r="N334" s="330"/>
      <c r="O334" s="330"/>
      <c r="P334" s="330"/>
      <c r="Q334" s="330"/>
      <c r="R334" s="330"/>
      <c r="S334" s="330"/>
      <c r="T334" s="330"/>
      <c r="U334" s="330"/>
      <c r="V334" s="330"/>
      <c r="W334" s="330"/>
      <c r="X334" s="196"/>
      <c r="Y334" s="197"/>
      <c r="Z334" s="330"/>
      <c r="AA334" s="330"/>
      <c r="AB334" s="330"/>
      <c r="AC334" s="330"/>
      <c r="AD334" s="330"/>
      <c r="AE334" s="330"/>
      <c r="AF334" s="330"/>
      <c r="AG334" s="330"/>
      <c r="AH334" s="330"/>
      <c r="AI334" s="330"/>
      <c r="AJ334" s="196"/>
      <c r="AK334" s="198"/>
      <c r="AL334" s="330"/>
      <c r="AM334" s="330"/>
      <c r="AN334" s="330"/>
      <c r="AO334" s="330"/>
      <c r="AP334" s="330"/>
      <c r="AQ334" s="330"/>
      <c r="AR334" s="330"/>
      <c r="AS334" s="330"/>
      <c r="AT334" s="330"/>
      <c r="AU334" s="330"/>
      <c r="AV334" s="196"/>
      <c r="AW334" s="198"/>
      <c r="AX334" s="95"/>
      <c r="AY334" s="95"/>
      <c r="AZ334" s="331"/>
      <c r="BA334" s="332"/>
      <c r="BB334" s="332"/>
      <c r="BC334" s="332"/>
      <c r="BD334" s="332"/>
      <c r="BE334" s="333"/>
      <c r="BF334" s="331"/>
      <c r="BG334" s="332"/>
      <c r="BH334" s="332">
        <f>AY334</f>
        <v>0</v>
      </c>
      <c r="BI334" s="333"/>
      <c r="BJ334" s="435"/>
      <c r="BK334" s="491"/>
      <c r="BL334" s="672"/>
      <c r="BM334" s="483"/>
      <c r="BN334" s="150"/>
      <c r="BO334" s="484"/>
      <c r="BP334" s="485"/>
      <c r="BQ334" s="483"/>
      <c r="BR334" s="673"/>
      <c r="BS334" s="487"/>
      <c r="BT334" s="485"/>
      <c r="BU334" s="483"/>
      <c r="BV334" s="673"/>
      <c r="BW334" s="487"/>
      <c r="BX334" s="660"/>
      <c r="BY334" s="488">
        <f t="shared" si="157"/>
        <v>0</v>
      </c>
      <c r="BZ334" s="489">
        <f>M334+BM334+BQ334+BU334</f>
        <v>0</v>
      </c>
      <c r="CA334" s="483">
        <f t="shared" si="159"/>
        <v>0</v>
      </c>
      <c r="CB334" s="491" t="e">
        <f t="shared" si="160"/>
        <v>#DIV/0!</v>
      </c>
      <c r="CC334" s="246">
        <f t="shared" si="153"/>
        <v>0</v>
      </c>
      <c r="CD334" s="661"/>
      <c r="CE334" s="332"/>
      <c r="CF334" s="492">
        <v>32.83</v>
      </c>
      <c r="CG334" s="74"/>
      <c r="CH334" s="74"/>
      <c r="CI334" s="74"/>
      <c r="CJ334" s="74"/>
      <c r="CK334" s="74"/>
      <c r="CL334" s="74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95"/>
      <c r="DB334" s="95"/>
      <c r="DC334" s="76"/>
      <c r="DD334" s="76"/>
      <c r="DE334" s="76"/>
    </row>
    <row r="335" spans="1:109" ht="24">
      <c r="A335" s="208" t="s">
        <v>241</v>
      </c>
      <c r="B335" s="153" t="s">
        <v>300</v>
      </c>
      <c r="C335" s="397" t="s">
        <v>54</v>
      </c>
      <c r="D335" s="162">
        <f>D332</f>
        <v>45145.58</v>
      </c>
      <c r="E335" s="162">
        <f>E332</f>
        <v>46973</v>
      </c>
      <c r="F335" s="162">
        <f>F332</f>
        <v>47839.39</v>
      </c>
      <c r="G335" s="162">
        <f>G332</f>
        <v>47839.39</v>
      </c>
      <c r="H335" s="162" t="e">
        <f>H332+H333</f>
        <v>#REF!</v>
      </c>
      <c r="I335" s="162" t="e">
        <f>I332+I333</f>
        <v>#REF!</v>
      </c>
      <c r="J335" s="162"/>
      <c r="K335" s="162"/>
      <c r="L335" s="162"/>
      <c r="M335" s="162" t="e">
        <f>M330+M333</f>
        <v>#REF!</v>
      </c>
      <c r="N335" s="162"/>
      <c r="O335" s="162">
        <f>O330</f>
        <v>1287.94</v>
      </c>
      <c r="P335" s="162"/>
      <c r="Q335" s="162"/>
      <c r="R335" s="162"/>
      <c r="S335" s="162"/>
      <c r="T335" s="162"/>
      <c r="U335" s="162"/>
      <c r="V335" s="162"/>
      <c r="W335" s="162"/>
      <c r="X335" s="209"/>
      <c r="Y335" s="210"/>
      <c r="Z335" s="162"/>
      <c r="AA335" s="162" t="e">
        <f>AA330+AA333</f>
        <v>#REF!</v>
      </c>
      <c r="AB335" s="162"/>
      <c r="AC335" s="162" t="e">
        <f>AC330</f>
        <v>#REF!</v>
      </c>
      <c r="AD335" s="162"/>
      <c r="AE335" s="162"/>
      <c r="AF335" s="162"/>
      <c r="AG335" s="162"/>
      <c r="AH335" s="162"/>
      <c r="AI335" s="162"/>
      <c r="AJ335" s="209"/>
      <c r="AK335" s="211"/>
      <c r="AL335" s="162"/>
      <c r="AM335" s="162" t="e">
        <f>AM330+AM333</f>
        <v>#REF!</v>
      </c>
      <c r="AN335" s="162"/>
      <c r="AO335" s="162" t="e">
        <f>AO330</f>
        <v>#REF!</v>
      </c>
      <c r="AP335" s="162"/>
      <c r="AQ335" s="162"/>
      <c r="AR335" s="162"/>
      <c r="AS335" s="162"/>
      <c r="AT335" s="162"/>
      <c r="AU335" s="162"/>
      <c r="AV335" s="209"/>
      <c r="AW335" s="211"/>
      <c r="AX335" s="162">
        <f>AX332+AX333</f>
        <v>23824.480874999997</v>
      </c>
      <c r="AY335" s="162">
        <f>AY332</f>
        <v>38875.15</v>
      </c>
      <c r="AZ335" s="343" t="e">
        <f>AZ332+AZ333</f>
        <v>#REF!</v>
      </c>
      <c r="BA335" s="344">
        <f>BA332+BA333</f>
        <v>19544.770000000004</v>
      </c>
      <c r="BB335" s="344">
        <f>BB332+BB333</f>
        <v>3192.5</v>
      </c>
      <c r="BC335" s="344">
        <f>BC332+BC333</f>
        <v>10807.585499999992</v>
      </c>
      <c r="BD335" s="344">
        <f>BD332</f>
        <v>0</v>
      </c>
      <c r="BE335" s="345">
        <f>BE332+BE333</f>
        <v>2527.9999999999995</v>
      </c>
      <c r="BF335" s="343">
        <f>BF332+BF333</f>
        <v>2180.1560899999999</v>
      </c>
      <c r="BG335" s="344">
        <f>BG332+BG333</f>
        <v>1661.18905</v>
      </c>
      <c r="BH335" s="344">
        <f>BH332+BH334</f>
        <v>-247.29414</v>
      </c>
      <c r="BI335" s="345">
        <f>BI332</f>
        <v>0</v>
      </c>
      <c r="BJ335" s="288"/>
      <c r="BK335" s="515"/>
      <c r="BL335" s="666">
        <f>BL332+BL333</f>
        <v>0</v>
      </c>
      <c r="BM335" s="516" t="e">
        <f>BM330+BM333</f>
        <v>#REF!</v>
      </c>
      <c r="BN335" s="122" t="e">
        <f>BM335-BL335</f>
        <v>#REF!</v>
      </c>
      <c r="BO335" s="409" t="e">
        <f>BM335/BL335</f>
        <v>#REF!</v>
      </c>
      <c r="BP335" s="448"/>
      <c r="BQ335" s="516"/>
      <c r="BR335" s="517"/>
      <c r="BS335" s="518"/>
      <c r="BT335" s="448"/>
      <c r="BU335" s="516"/>
      <c r="BV335" s="517"/>
      <c r="BW335" s="518"/>
      <c r="BX335" s="667" t="e">
        <f>BX332+BX333</f>
        <v>#REF!</v>
      </c>
      <c r="BY335" s="449">
        <f t="shared" si="157"/>
        <v>47839.39</v>
      </c>
      <c r="BZ335" s="209" t="e">
        <f t="shared" si="158"/>
        <v>#REF!</v>
      </c>
      <c r="CA335" s="516" t="e">
        <f t="shared" si="159"/>
        <v>#REF!</v>
      </c>
      <c r="CB335" s="515" t="e">
        <f t="shared" si="160"/>
        <v>#REF!</v>
      </c>
      <c r="CC335" s="444" t="e">
        <f t="shared" si="153"/>
        <v>#REF!</v>
      </c>
      <c r="CD335" s="668" t="e">
        <f>CD332+CD333</f>
        <v>#REF!</v>
      </c>
      <c r="CE335" s="344" t="e">
        <f>CE332+CE333</f>
        <v>#REF!</v>
      </c>
      <c r="CF335" s="519">
        <f>CF332+CF334</f>
        <v>660.22329999999999</v>
      </c>
      <c r="CG335" s="450"/>
      <c r="CH335" s="450"/>
      <c r="CI335" s="450"/>
      <c r="CJ335" s="450"/>
      <c r="CK335" s="450"/>
      <c r="CL335" s="450"/>
      <c r="CM335" s="451"/>
      <c r="CN335" s="451"/>
      <c r="CO335" s="451"/>
      <c r="CP335" s="451"/>
      <c r="CQ335" s="451"/>
      <c r="CR335" s="451"/>
      <c r="CS335" s="451"/>
      <c r="CT335" s="451"/>
      <c r="CU335" s="451"/>
      <c r="CV335" s="451"/>
      <c r="CW335" s="451"/>
      <c r="CX335" s="451"/>
      <c r="CY335" s="451"/>
      <c r="CZ335" s="451"/>
      <c r="DA335" s="162" t="e">
        <f>DA332</f>
        <v>#REF!</v>
      </c>
      <c r="DB335" s="162">
        <f>DB332</f>
        <v>50193.39</v>
      </c>
      <c r="DC335" s="162">
        <f>DC332</f>
        <v>48278.400000000009</v>
      </c>
      <c r="DD335" s="162">
        <f>DD332</f>
        <v>42124.289999999994</v>
      </c>
      <c r="DE335" s="162">
        <f>DE332</f>
        <v>48278.400000000009</v>
      </c>
    </row>
    <row r="336" spans="1:109">
      <c r="A336" s="247"/>
      <c r="B336" s="727" t="s">
        <v>292</v>
      </c>
      <c r="C336" s="249" t="s">
        <v>83</v>
      </c>
      <c r="D336" s="751">
        <v>396</v>
      </c>
      <c r="E336" s="751">
        <f>E335/E20</f>
        <v>428</v>
      </c>
      <c r="F336" s="751">
        <f>F335/F20</f>
        <v>428.0163729086517</v>
      </c>
      <c r="G336" s="751">
        <f>G335/G20</f>
        <v>428.0163729086517</v>
      </c>
      <c r="H336" s="752" t="e">
        <f>(H335+H340)/H21</f>
        <v>#REF!</v>
      </c>
      <c r="I336" s="752"/>
      <c r="J336" s="752"/>
      <c r="K336" s="752"/>
      <c r="L336" s="752" t="e">
        <f>L330/L20</f>
        <v>#REF!</v>
      </c>
      <c r="M336" s="752" t="e">
        <f>M335/M20</f>
        <v>#REF!</v>
      </c>
      <c r="N336" s="752"/>
      <c r="O336" s="752" t="e">
        <f>O330/O20</f>
        <v>#REF!</v>
      </c>
      <c r="P336" s="752"/>
      <c r="Q336" s="752"/>
      <c r="R336" s="752"/>
      <c r="S336" s="752"/>
      <c r="T336" s="752"/>
      <c r="U336" s="752"/>
      <c r="V336" s="752"/>
      <c r="W336" s="752"/>
      <c r="X336" s="753"/>
      <c r="Y336" s="754"/>
      <c r="Z336" s="752" t="e">
        <f>Z330/Z20</f>
        <v>#REF!</v>
      </c>
      <c r="AA336" s="752" t="e">
        <f>AA335/AA20</f>
        <v>#REF!</v>
      </c>
      <c r="AB336" s="752"/>
      <c r="AC336" s="752" t="e">
        <f>AC330/AC20</f>
        <v>#REF!</v>
      </c>
      <c r="AD336" s="752"/>
      <c r="AE336" s="752"/>
      <c r="AF336" s="752"/>
      <c r="AG336" s="752"/>
      <c r="AH336" s="752"/>
      <c r="AI336" s="752"/>
      <c r="AJ336" s="753"/>
      <c r="AK336" s="755"/>
      <c r="AL336" s="752" t="e">
        <f>AL330/AL20</f>
        <v>#REF!</v>
      </c>
      <c r="AM336" s="752" t="e">
        <f>AM335/AM20</f>
        <v>#REF!</v>
      </c>
      <c r="AN336" s="752"/>
      <c r="AO336" s="752" t="e">
        <f>AO330/AO20</f>
        <v>#REF!</v>
      </c>
      <c r="AP336" s="752"/>
      <c r="AQ336" s="752"/>
      <c r="AR336" s="752"/>
      <c r="AS336" s="752"/>
      <c r="AT336" s="752"/>
      <c r="AU336" s="752"/>
      <c r="AV336" s="753"/>
      <c r="AW336" s="755"/>
      <c r="AX336" s="756"/>
      <c r="AY336" s="756">
        <f>AY28/AY20</f>
        <v>361.19251138158506</v>
      </c>
      <c r="AZ336" s="757" t="e">
        <f>(AZ335+AZ340)/AZ21</f>
        <v>#REF!</v>
      </c>
      <c r="BA336" s="758">
        <f>(BA335+BA340)/BA20</f>
        <v>325.86347492541552</v>
      </c>
      <c r="BB336" s="758"/>
      <c r="BC336" s="758"/>
      <c r="BD336" s="758">
        <f>BD335/BD20</f>
        <v>0</v>
      </c>
      <c r="BE336" s="759">
        <f>BE335/BE20</f>
        <v>419.23714759535648</v>
      </c>
      <c r="BF336" s="757"/>
      <c r="BG336" s="758"/>
      <c r="BH336" s="758"/>
      <c r="BI336" s="760"/>
      <c r="BJ336" s="417"/>
      <c r="BK336" s="554"/>
      <c r="BL336" s="761"/>
      <c r="BM336" s="587"/>
      <c r="BN336" s="255"/>
      <c r="BO336" s="585"/>
      <c r="BP336" s="586"/>
      <c r="BQ336" s="587"/>
      <c r="BR336" s="762"/>
      <c r="BS336" s="589"/>
      <c r="BT336" s="586"/>
      <c r="BU336" s="587"/>
      <c r="BV336" s="762"/>
      <c r="BW336" s="589"/>
      <c r="BX336" s="763"/>
      <c r="BY336" s="591">
        <f>BY29/BY21</f>
        <v>27.987843137254902</v>
      </c>
      <c r="BZ336" s="592">
        <v>223.78</v>
      </c>
      <c r="CA336" s="587">
        <f t="shared" si="159"/>
        <v>195.79215686274509</v>
      </c>
      <c r="CB336" s="594">
        <f t="shared" si="160"/>
        <v>7.9956143423615291</v>
      </c>
      <c r="CC336" s="22"/>
      <c r="CD336" s="764"/>
      <c r="CE336" s="765"/>
      <c r="CF336" s="597"/>
      <c r="CG336" s="687"/>
      <c r="CH336" s="687"/>
      <c r="CI336" s="687"/>
      <c r="CJ336" s="687"/>
      <c r="CK336" s="687"/>
      <c r="CL336" s="687"/>
      <c r="CM336" s="688"/>
      <c r="CN336" s="688"/>
      <c r="CO336" s="688"/>
      <c r="CP336" s="688"/>
      <c r="CQ336" s="688"/>
      <c r="CR336" s="688"/>
      <c r="CS336" s="688"/>
      <c r="CT336" s="688"/>
      <c r="CU336" s="688"/>
      <c r="CV336" s="688"/>
      <c r="CW336" s="688"/>
      <c r="CX336" s="688"/>
      <c r="CY336" s="688"/>
      <c r="CZ336" s="688"/>
      <c r="DA336" s="756" t="e">
        <f>DA335/DA20</f>
        <v>#REF!</v>
      </c>
      <c r="DB336" s="756">
        <f>DB335/DB20</f>
        <v>428.0156050140701</v>
      </c>
      <c r="DC336" s="751">
        <f>DC335/DC20</f>
        <v>428.00000000000011</v>
      </c>
      <c r="DD336" s="751">
        <v>428</v>
      </c>
      <c r="DE336" s="751">
        <f>DE335/DE20</f>
        <v>428.00000000000011</v>
      </c>
    </row>
    <row r="337" spans="1:109" ht="12" customHeight="1">
      <c r="A337" s="365"/>
      <c r="B337" s="366" t="s">
        <v>290</v>
      </c>
      <c r="C337" s="217" t="s">
        <v>86</v>
      </c>
      <c r="D337" s="367">
        <v>0.15429999999999999</v>
      </c>
      <c r="E337" s="367">
        <v>0.15429999999999999</v>
      </c>
      <c r="F337" s="367">
        <v>0.15429999999999999</v>
      </c>
      <c r="G337" s="367">
        <v>0.15429999999999999</v>
      </c>
      <c r="H337" s="368">
        <v>0.20799999999999999</v>
      </c>
      <c r="I337" s="369"/>
      <c r="J337" s="369"/>
      <c r="K337" s="369"/>
      <c r="L337" s="369"/>
      <c r="M337" s="369"/>
      <c r="N337" s="369"/>
      <c r="O337" s="368">
        <v>0.20799999999999999</v>
      </c>
      <c r="P337" s="368"/>
      <c r="Q337" s="368"/>
      <c r="R337" s="369"/>
      <c r="S337" s="369"/>
      <c r="T337" s="369"/>
      <c r="U337" s="369"/>
      <c r="V337" s="369"/>
      <c r="W337" s="369"/>
      <c r="X337" s="370"/>
      <c r="Y337" s="371"/>
      <c r="Z337" s="369"/>
      <c r="AA337" s="369"/>
      <c r="AB337" s="369"/>
      <c r="AC337" s="368">
        <v>0.20799999999999999</v>
      </c>
      <c r="AD337" s="369"/>
      <c r="AE337" s="369"/>
      <c r="AF337" s="369"/>
      <c r="AG337" s="369"/>
      <c r="AH337" s="369"/>
      <c r="AI337" s="369"/>
      <c r="AJ337" s="370"/>
      <c r="AK337" s="372"/>
      <c r="AL337" s="369"/>
      <c r="AM337" s="369"/>
      <c r="AN337" s="369"/>
      <c r="AO337" s="368">
        <v>0.20799999999999999</v>
      </c>
      <c r="AP337" s="369"/>
      <c r="AQ337" s="369"/>
      <c r="AR337" s="369"/>
      <c r="AS337" s="369"/>
      <c r="AT337" s="369"/>
      <c r="AU337" s="369"/>
      <c r="AV337" s="370"/>
      <c r="AW337" s="372"/>
      <c r="AX337" s="373"/>
      <c r="AY337" s="367">
        <v>0.18260000000000001</v>
      </c>
      <c r="AZ337" s="374">
        <v>0.20799999999999999</v>
      </c>
      <c r="BA337" s="375">
        <v>0.2354</v>
      </c>
      <c r="BB337" s="376"/>
      <c r="BC337" s="376"/>
      <c r="BD337" s="376"/>
      <c r="BE337" s="377"/>
      <c r="BF337" s="689"/>
      <c r="BG337" s="376"/>
      <c r="BH337" s="376"/>
      <c r="BI337" s="377"/>
      <c r="BJ337" s="426"/>
      <c r="BK337" s="46"/>
      <c r="BL337" s="690"/>
      <c r="BM337" s="691"/>
      <c r="BN337" s="692"/>
      <c r="BO337" s="514"/>
      <c r="BP337" s="693"/>
      <c r="BQ337" s="691"/>
      <c r="BR337" s="694"/>
      <c r="BS337" s="695"/>
      <c r="BT337" s="693"/>
      <c r="BU337" s="691"/>
      <c r="BV337" s="694"/>
      <c r="BW337" s="695"/>
      <c r="BX337" s="696"/>
      <c r="BY337" s="697">
        <v>0.20799999999999999</v>
      </c>
      <c r="BZ337" s="698">
        <v>0.20799999999999999</v>
      </c>
      <c r="CA337" s="691"/>
      <c r="CB337" s="482"/>
      <c r="CC337" s="246"/>
      <c r="CD337" s="699"/>
      <c r="CE337" s="700"/>
      <c r="CF337" s="701"/>
      <c r="CG337" s="702"/>
      <c r="CH337" s="702"/>
      <c r="CI337" s="702"/>
      <c r="CJ337" s="702"/>
      <c r="CK337" s="702"/>
      <c r="CL337" s="702"/>
      <c r="CM337" s="703"/>
      <c r="CN337" s="703"/>
      <c r="CO337" s="703"/>
      <c r="CP337" s="703"/>
      <c r="CQ337" s="703"/>
      <c r="CR337" s="703"/>
      <c r="CS337" s="703"/>
      <c r="CT337" s="703"/>
      <c r="CU337" s="703"/>
      <c r="CV337" s="703"/>
      <c r="CW337" s="703"/>
      <c r="CX337" s="703"/>
      <c r="CY337" s="703"/>
      <c r="CZ337" s="703"/>
      <c r="DA337" s="367">
        <v>0.15429999999999999</v>
      </c>
      <c r="DB337" s="367">
        <v>0.23300000000000001</v>
      </c>
      <c r="DC337" s="367">
        <v>0.16830000000000001</v>
      </c>
      <c r="DD337" s="367">
        <v>0.16830000000000001</v>
      </c>
      <c r="DE337" s="367">
        <v>0.16830000000000001</v>
      </c>
    </row>
    <row r="338" spans="1:109">
      <c r="A338" s="358"/>
      <c r="B338" s="359" t="s">
        <v>84</v>
      </c>
      <c r="C338" s="217" t="s">
        <v>83</v>
      </c>
      <c r="D338" s="361">
        <f>D336*D337</f>
        <v>61.102799999999995</v>
      </c>
      <c r="E338" s="361">
        <f>E336*E337</f>
        <v>66.040399999999991</v>
      </c>
      <c r="F338" s="361">
        <f>F336*F337</f>
        <v>66.04292633980495</v>
      </c>
      <c r="G338" s="361">
        <f>G336*G337</f>
        <v>66.04292633980495</v>
      </c>
      <c r="H338" s="162" t="e">
        <f>H336*H337</f>
        <v>#REF!</v>
      </c>
      <c r="I338" s="162"/>
      <c r="J338" s="162"/>
      <c r="K338" s="162"/>
      <c r="L338" s="162"/>
      <c r="M338" s="162"/>
      <c r="N338" s="162"/>
      <c r="O338" s="162" t="e">
        <f>O336*O337</f>
        <v>#REF!</v>
      </c>
      <c r="P338" s="162"/>
      <c r="Q338" s="162"/>
      <c r="R338" s="162"/>
      <c r="S338" s="162">
        <f>S330/S20</f>
        <v>1372.4267334212288</v>
      </c>
      <c r="T338" s="162"/>
      <c r="U338" s="162" t="e">
        <f>U330/U20</f>
        <v>#REF!</v>
      </c>
      <c r="V338" s="162" t="e">
        <f>V330/V20</f>
        <v>#REF!</v>
      </c>
      <c r="W338" s="162"/>
      <c r="X338" s="209"/>
      <c r="Y338" s="210"/>
      <c r="Z338" s="162"/>
      <c r="AA338" s="162"/>
      <c r="AB338" s="162"/>
      <c r="AC338" s="162" t="e">
        <f>AC336*AC337</f>
        <v>#REF!</v>
      </c>
      <c r="AD338" s="162"/>
      <c r="AE338" s="162" t="e">
        <f>AE330/AE20</f>
        <v>#REF!</v>
      </c>
      <c r="AF338" s="162"/>
      <c r="AG338" s="162" t="e">
        <f>AG330/AG20</f>
        <v>#REF!</v>
      </c>
      <c r="AH338" s="162" t="e">
        <f>AH330/AH20</f>
        <v>#REF!</v>
      </c>
      <c r="AI338" s="162"/>
      <c r="AJ338" s="209"/>
      <c r="AK338" s="211"/>
      <c r="AL338" s="162"/>
      <c r="AM338" s="162"/>
      <c r="AN338" s="162"/>
      <c r="AO338" s="162" t="e">
        <f>AO336*AO337</f>
        <v>#REF!</v>
      </c>
      <c r="AP338" s="162"/>
      <c r="AQ338" s="162" t="e">
        <f>AQ330/AQ20</f>
        <v>#REF!</v>
      </c>
      <c r="AR338" s="162"/>
      <c r="AS338" s="162" t="e">
        <f>AS330/AS20</f>
        <v>#REF!</v>
      </c>
      <c r="AT338" s="162" t="e">
        <f>AT330/AT20</f>
        <v>#REF!</v>
      </c>
      <c r="AU338" s="162"/>
      <c r="AV338" s="209"/>
      <c r="AW338" s="211"/>
      <c r="AX338" s="362"/>
      <c r="AY338" s="361">
        <f>AY336*AY337</f>
        <v>65.953752578277431</v>
      </c>
      <c r="AZ338" s="378" t="e">
        <f>AZ336*AZ337</f>
        <v>#REF!</v>
      </c>
      <c r="BA338" s="379">
        <f>BA336*BA337</f>
        <v>76.708261997442818</v>
      </c>
      <c r="BB338" s="364"/>
      <c r="BC338" s="364"/>
      <c r="BD338" s="364"/>
      <c r="BE338" s="380"/>
      <c r="BF338" s="363"/>
      <c r="BG338" s="364"/>
      <c r="BH338" s="364"/>
      <c r="BI338" s="380"/>
      <c r="BJ338" s="426"/>
      <c r="BK338" s="481"/>
      <c r="BL338" s="675"/>
      <c r="BM338" s="676"/>
      <c r="BN338" s="677"/>
      <c r="BO338" s="484"/>
      <c r="BP338" s="678"/>
      <c r="BQ338" s="676"/>
      <c r="BR338" s="679"/>
      <c r="BS338" s="680"/>
      <c r="BT338" s="678"/>
      <c r="BU338" s="676"/>
      <c r="BV338" s="679"/>
      <c r="BW338" s="680"/>
      <c r="BX338" s="681"/>
      <c r="BY338" s="682">
        <f>BY336*BY337</f>
        <v>5.821471372549019</v>
      </c>
      <c r="BZ338" s="683">
        <f>BZ336*BZ337</f>
        <v>46.546239999999997</v>
      </c>
      <c r="CA338" s="676"/>
      <c r="CB338" s="493"/>
      <c r="CC338" s="246"/>
      <c r="CD338" s="684"/>
      <c r="CE338" s="685"/>
      <c r="CF338" s="686"/>
      <c r="CG338" s="687"/>
      <c r="CH338" s="687"/>
      <c r="CI338" s="687"/>
      <c r="CJ338" s="687"/>
      <c r="CK338" s="687"/>
      <c r="CL338" s="687"/>
      <c r="CM338" s="688"/>
      <c r="CN338" s="688"/>
      <c r="CO338" s="688"/>
      <c r="CP338" s="688"/>
      <c r="CQ338" s="688"/>
      <c r="CR338" s="688"/>
      <c r="CS338" s="688"/>
      <c r="CT338" s="688"/>
      <c r="CU338" s="688"/>
      <c r="CV338" s="688"/>
      <c r="CW338" s="688"/>
      <c r="CX338" s="688"/>
      <c r="CY338" s="688"/>
      <c r="CZ338" s="688"/>
      <c r="DA338" s="361" t="e">
        <f>DA336*DA337</f>
        <v>#REF!</v>
      </c>
      <c r="DB338" s="361">
        <f>DB336*DB337</f>
        <v>99.727635968278335</v>
      </c>
      <c r="DC338" s="361">
        <f>DC336*DC337</f>
        <v>72.032400000000024</v>
      </c>
      <c r="DD338" s="361">
        <f>DD336*DD337</f>
        <v>72.032399999999996</v>
      </c>
      <c r="DE338" s="361">
        <f>DE336*DE337</f>
        <v>72.032400000000024</v>
      </c>
    </row>
    <row r="339" spans="1:109">
      <c r="A339" s="358"/>
      <c r="B339" s="359" t="s">
        <v>85</v>
      </c>
      <c r="C339" s="217" t="s">
        <v>83</v>
      </c>
      <c r="D339" s="711">
        <v>396</v>
      </c>
      <c r="E339" s="711">
        <v>428</v>
      </c>
      <c r="F339" s="711">
        <v>428</v>
      </c>
      <c r="G339" s="711">
        <v>428</v>
      </c>
      <c r="H339" s="357"/>
      <c r="I339" s="357" t="e">
        <f>(I335+I340)/I20</f>
        <v>#REF!</v>
      </c>
      <c r="J339" s="357"/>
      <c r="K339" s="357"/>
      <c r="L339" s="357"/>
      <c r="M339" s="357"/>
      <c r="N339" s="357"/>
      <c r="O339" s="357"/>
      <c r="P339" s="357"/>
      <c r="Q339" s="357"/>
      <c r="R339" s="357"/>
      <c r="S339" s="357"/>
      <c r="T339" s="357"/>
      <c r="U339" s="357"/>
      <c r="V339" s="357"/>
      <c r="W339" s="357"/>
      <c r="X339" s="674"/>
      <c r="Y339" s="712"/>
      <c r="Z339" s="357"/>
      <c r="AA339" s="357"/>
      <c r="AB339" s="357"/>
      <c r="AC339" s="357"/>
      <c r="AD339" s="357"/>
      <c r="AE339" s="357"/>
      <c r="AF339" s="357"/>
      <c r="AG339" s="357"/>
      <c r="AH339" s="357"/>
      <c r="AI339" s="357"/>
      <c r="AJ339" s="674"/>
      <c r="AK339" s="713"/>
      <c r="AL339" s="357"/>
      <c r="AM339" s="357"/>
      <c r="AN339" s="357"/>
      <c r="AO339" s="357"/>
      <c r="AP339" s="357"/>
      <c r="AQ339" s="357"/>
      <c r="AR339" s="357"/>
      <c r="AS339" s="357"/>
      <c r="AT339" s="357"/>
      <c r="AU339" s="357"/>
      <c r="AV339" s="674"/>
      <c r="AW339" s="713"/>
      <c r="AX339" s="360"/>
      <c r="AY339" s="711">
        <f>BC339</f>
        <v>428.02499198974687</v>
      </c>
      <c r="AZ339" s="714"/>
      <c r="BA339" s="685"/>
      <c r="BB339" s="685">
        <f>(BB335+BB340)/BB20</f>
        <v>346.65478475459281</v>
      </c>
      <c r="BC339" s="715">
        <f>(BC335+BC340)/BC20</f>
        <v>428.02499198974687</v>
      </c>
      <c r="BD339" s="685"/>
      <c r="BE339" s="716"/>
      <c r="BF339" s="714"/>
      <c r="BG339" s="685"/>
      <c r="BH339" s="685"/>
      <c r="BI339" s="716"/>
      <c r="BJ339" s="435"/>
      <c r="BK339" s="493"/>
      <c r="BL339" s="675"/>
      <c r="BM339" s="676"/>
      <c r="BN339" s="677"/>
      <c r="BO339" s="484"/>
      <c r="BP339" s="678"/>
      <c r="BQ339" s="676"/>
      <c r="BR339" s="679"/>
      <c r="BS339" s="680"/>
      <c r="BT339" s="678"/>
      <c r="BU339" s="676"/>
      <c r="BV339" s="679"/>
      <c r="BW339" s="680"/>
      <c r="BX339" s="681"/>
      <c r="BY339" s="682">
        <f>F30/F24</f>
        <v>428.05017822868109</v>
      </c>
      <c r="BZ339" s="683">
        <v>338.57</v>
      </c>
      <c r="CA339" s="676"/>
      <c r="CB339" s="493"/>
      <c r="CC339" s="246"/>
      <c r="CD339" s="684"/>
      <c r="CE339" s="685"/>
      <c r="CF339" s="686"/>
      <c r="CG339" s="687"/>
      <c r="CH339" s="687"/>
      <c r="CI339" s="687"/>
      <c r="CJ339" s="687"/>
      <c r="CK339" s="687"/>
      <c r="CL339" s="687"/>
      <c r="CM339" s="688"/>
      <c r="CN339" s="688"/>
      <c r="CO339" s="688"/>
      <c r="CP339" s="688"/>
      <c r="CQ339" s="688"/>
      <c r="CR339" s="688"/>
      <c r="CS339" s="688"/>
      <c r="CT339" s="688"/>
      <c r="CU339" s="688"/>
      <c r="CV339" s="688"/>
      <c r="CW339" s="688"/>
      <c r="CX339" s="688"/>
      <c r="CY339" s="688"/>
      <c r="CZ339" s="688"/>
      <c r="DA339" s="711" t="e">
        <f>DA336</f>
        <v>#REF!</v>
      </c>
      <c r="DB339" s="711">
        <f>DB336</f>
        <v>428.0156050140701</v>
      </c>
      <c r="DC339" s="711">
        <v>428</v>
      </c>
      <c r="DD339" s="711">
        <v>428</v>
      </c>
      <c r="DE339" s="711">
        <v>428</v>
      </c>
    </row>
    <row r="340" spans="1:109">
      <c r="A340" s="208" t="s">
        <v>242</v>
      </c>
      <c r="B340" s="153" t="s">
        <v>46</v>
      </c>
      <c r="C340" s="717" t="s">
        <v>54</v>
      </c>
      <c r="D340" s="162">
        <f t="shared" ref="D340:I340" si="164">D331-D333</f>
        <v>1613.3084200000112</v>
      </c>
      <c r="E340" s="162">
        <f t="shared" si="164"/>
        <v>808.18841999998722</v>
      </c>
      <c r="F340" s="162">
        <f t="shared" si="164"/>
        <v>808.19290999999475</v>
      </c>
      <c r="G340" s="162">
        <f t="shared" si="164"/>
        <v>808.18825000000334</v>
      </c>
      <c r="H340" s="162" t="e">
        <f t="shared" si="164"/>
        <v>#REF!</v>
      </c>
      <c r="I340" s="162" t="e">
        <f t="shared" si="164"/>
        <v>#REF!</v>
      </c>
      <c r="J340" s="162"/>
      <c r="K340" s="162"/>
      <c r="L340" s="162"/>
      <c r="M340" s="162" t="e">
        <f>M28-M335</f>
        <v>#REF!</v>
      </c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209"/>
      <c r="Y340" s="210"/>
      <c r="Z340" s="162"/>
      <c r="AA340" s="162" t="e">
        <f>AA28-AA335</f>
        <v>#REF!</v>
      </c>
      <c r="AB340" s="162"/>
      <c r="AC340" s="162"/>
      <c r="AD340" s="162"/>
      <c r="AE340" s="162"/>
      <c r="AF340" s="162"/>
      <c r="AG340" s="162"/>
      <c r="AH340" s="162"/>
      <c r="AI340" s="162"/>
      <c r="AJ340" s="209"/>
      <c r="AK340" s="211"/>
      <c r="AL340" s="162"/>
      <c r="AM340" s="162" t="e">
        <f>AM28-AM335</f>
        <v>#REF!</v>
      </c>
      <c r="AN340" s="162"/>
      <c r="AO340" s="162"/>
      <c r="AP340" s="162"/>
      <c r="AQ340" s="162"/>
      <c r="AR340" s="162"/>
      <c r="AS340" s="162"/>
      <c r="AT340" s="162"/>
      <c r="AU340" s="162"/>
      <c r="AV340" s="209"/>
      <c r="AW340" s="211"/>
      <c r="AX340" s="162">
        <f>AX331-AX333</f>
        <v>95.214125000000649</v>
      </c>
      <c r="AY340" s="162">
        <f>AY331-AY333-AY334</f>
        <v>-887.0109999999811</v>
      </c>
      <c r="AZ340" s="343" t="e">
        <f t="shared" ref="AZ340:BG340" si="165">AZ331-AZ333</f>
        <v>#REF!</v>
      </c>
      <c r="BA340" s="344">
        <f t="shared" si="165"/>
        <v>3392.7599999999952</v>
      </c>
      <c r="BB340" s="344">
        <f t="shared" si="165"/>
        <v>3128.75</v>
      </c>
      <c r="BC340" s="344">
        <f t="shared" si="165"/>
        <v>2551.0745000000088</v>
      </c>
      <c r="BD340" s="344">
        <f t="shared" si="165"/>
        <v>0</v>
      </c>
      <c r="BE340" s="345">
        <f>BE331-BE333</f>
        <v>50.960000000000292</v>
      </c>
      <c r="BF340" s="343">
        <f>BF331-BF333</f>
        <v>-2180.1560899999999</v>
      </c>
      <c r="BG340" s="344">
        <f t="shared" si="165"/>
        <v>-1661.18905</v>
      </c>
      <c r="BH340" s="344">
        <f>BH331-BH334</f>
        <v>247.29414</v>
      </c>
      <c r="BI340" s="345">
        <f>BI331-BI333</f>
        <v>0</v>
      </c>
      <c r="BJ340" s="288"/>
      <c r="BK340" s="515"/>
      <c r="BL340" s="666">
        <f>BL28-BL335</f>
        <v>0</v>
      </c>
      <c r="BM340" s="516" t="e">
        <f>BM28-BM335</f>
        <v>#REF!</v>
      </c>
      <c r="BN340" s="122" t="e">
        <f>BM340-BL340</f>
        <v>#REF!</v>
      </c>
      <c r="BO340" s="409" t="e">
        <f>BM340/BL340</f>
        <v>#REF!</v>
      </c>
      <c r="BP340" s="448"/>
      <c r="BQ340" s="516"/>
      <c r="BR340" s="517"/>
      <c r="BS340" s="518"/>
      <c r="BT340" s="448"/>
      <c r="BU340" s="516"/>
      <c r="BV340" s="517"/>
      <c r="BW340" s="518"/>
      <c r="BX340" s="667" t="e">
        <f>BX331-BX333</f>
        <v>#REF!</v>
      </c>
      <c r="BY340" s="449">
        <f t="shared" si="157"/>
        <v>808.19290999999475</v>
      </c>
      <c r="BZ340" s="209">
        <f>BZ28-BZ332-BZ333-BZ334</f>
        <v>5769.9029300000002</v>
      </c>
      <c r="CA340" s="516">
        <f t="shared" si="159"/>
        <v>4961.7100200000059</v>
      </c>
      <c r="CB340" s="515">
        <f t="shared" si="160"/>
        <v>7.1392644733793045</v>
      </c>
      <c r="CC340" s="414">
        <f>BZ340-E340</f>
        <v>4961.7145100000125</v>
      </c>
      <c r="CD340" s="668" t="e">
        <f>CD28-CD335</f>
        <v>#REF!</v>
      </c>
      <c r="CE340" s="344" t="e">
        <f>CE28-CE335</f>
        <v>#REF!</v>
      </c>
      <c r="CF340" s="519">
        <f>CF28-CF335</f>
        <v>1716.5367000000001</v>
      </c>
      <c r="CG340" s="450"/>
      <c r="CH340" s="450"/>
      <c r="CI340" s="450"/>
      <c r="CJ340" s="450"/>
      <c r="CK340" s="450"/>
      <c r="CL340" s="450"/>
      <c r="CM340" s="451"/>
      <c r="CN340" s="451"/>
      <c r="CO340" s="451"/>
      <c r="CP340" s="451"/>
      <c r="CQ340" s="451"/>
      <c r="CR340" s="451"/>
      <c r="CS340" s="451"/>
      <c r="CT340" s="451"/>
      <c r="CU340" s="451"/>
      <c r="CV340" s="451"/>
      <c r="CW340" s="451"/>
      <c r="CX340" s="451"/>
      <c r="CY340" s="451"/>
      <c r="CZ340" s="451"/>
      <c r="DA340" s="162" t="e">
        <f>DA331-DA333</f>
        <v>#REF!</v>
      </c>
      <c r="DB340" s="162">
        <f>DB331-DB333</f>
        <v>1593.1262899999958</v>
      </c>
      <c r="DC340" s="162">
        <f>DC331-DC333</f>
        <v>1808.2602500000128</v>
      </c>
      <c r="DD340" s="162">
        <f>DD331-DD333</f>
        <v>114.71654999999714</v>
      </c>
      <c r="DE340" s="162">
        <f>DE331-DE333</f>
        <v>1554.7002900000141</v>
      </c>
    </row>
    <row r="341" spans="1:109">
      <c r="D341" s="27"/>
      <c r="E341" s="27"/>
      <c r="F341" s="27"/>
      <c r="G341" s="27"/>
      <c r="H341" s="27"/>
      <c r="I341" s="27"/>
      <c r="J341" s="27"/>
      <c r="K341" s="27"/>
      <c r="L341" s="27"/>
      <c r="Z341" s="27"/>
      <c r="DC341" s="27"/>
      <c r="DD341" s="27"/>
      <c r="DE341" s="27"/>
    </row>
    <row r="342" spans="1:109" ht="15">
      <c r="A342" s="719"/>
      <c r="B342" s="720"/>
      <c r="C342" s="720"/>
      <c r="D342" s="721"/>
      <c r="E342" s="721"/>
      <c r="F342" s="721"/>
      <c r="G342" s="721"/>
      <c r="H342" s="721"/>
      <c r="I342" s="721"/>
      <c r="J342" s="721"/>
      <c r="K342" s="721"/>
      <c r="L342" s="721"/>
      <c r="M342" s="721"/>
      <c r="N342" s="721"/>
      <c r="O342" s="721"/>
      <c r="P342" s="721"/>
      <c r="Q342" s="721"/>
      <c r="R342" s="721"/>
      <c r="S342" s="721"/>
      <c r="T342" s="721"/>
      <c r="U342" s="721"/>
      <c r="V342" s="721"/>
      <c r="W342" s="721"/>
      <c r="X342" s="721"/>
      <c r="Y342" s="720"/>
      <c r="Z342" s="720"/>
      <c r="AA342" s="720"/>
      <c r="AB342" s="720"/>
      <c r="AC342" s="720"/>
      <c r="AD342" s="720"/>
      <c r="AE342" s="720"/>
      <c r="AF342" s="720"/>
      <c r="AG342" s="720"/>
      <c r="AH342" s="722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J342" s="704"/>
      <c r="BK342" s="704"/>
      <c r="BL342" s="29"/>
      <c r="BM342" s="30"/>
      <c r="BN342" s="704"/>
      <c r="BO342" s="704"/>
      <c r="BP342" s="29"/>
      <c r="BQ342" s="30"/>
      <c r="BR342" s="704"/>
      <c r="BS342" s="704"/>
      <c r="BT342" s="29"/>
      <c r="BU342" s="30"/>
      <c r="BV342" s="30"/>
      <c r="BW342" s="29"/>
      <c r="BX342" s="29"/>
      <c r="CK342" s="705"/>
      <c r="CL342" s="705"/>
      <c r="DA342" s="45"/>
      <c r="DB342" s="45"/>
      <c r="DC342" s="721"/>
      <c r="DD342" s="721"/>
      <c r="DE342" s="721"/>
    </row>
    <row r="343" spans="1:109" ht="15">
      <c r="A343" s="719" t="s">
        <v>330</v>
      </c>
      <c r="B343" s="720"/>
      <c r="C343" s="720"/>
      <c r="D343" s="721"/>
      <c r="E343" s="721"/>
      <c r="F343" s="721"/>
      <c r="G343" s="721"/>
      <c r="H343" s="721"/>
      <c r="I343" s="721"/>
      <c r="J343" s="721"/>
      <c r="K343" s="721"/>
      <c r="L343" s="721"/>
      <c r="M343" s="721"/>
      <c r="N343" s="721"/>
      <c r="O343" s="721"/>
      <c r="P343" s="721"/>
      <c r="Q343" s="721"/>
      <c r="R343" s="721"/>
      <c r="S343" s="721"/>
      <c r="T343" s="721"/>
      <c r="U343" s="721"/>
      <c r="V343" s="721"/>
      <c r="W343" s="721"/>
      <c r="X343" s="721"/>
      <c r="Y343" s="720"/>
      <c r="Z343" s="720"/>
      <c r="AA343" s="720"/>
      <c r="AB343" s="720"/>
      <c r="AC343" s="720"/>
      <c r="AD343" s="720"/>
      <c r="AE343" s="720"/>
      <c r="AF343" s="720"/>
      <c r="AG343" s="720"/>
      <c r="AH343" s="722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723" t="s">
        <v>154</v>
      </c>
      <c r="BE343" s="723" t="s">
        <v>243</v>
      </c>
      <c r="BJ343" s="704"/>
      <c r="BK343" s="704"/>
      <c r="BL343" s="29"/>
      <c r="BM343" s="30"/>
      <c r="BN343" s="704"/>
      <c r="BO343" s="704"/>
      <c r="BP343" s="29"/>
      <c r="BQ343" s="30"/>
      <c r="BR343" s="704"/>
      <c r="BS343" s="704"/>
      <c r="BT343" s="29"/>
      <c r="BU343" s="30"/>
      <c r="BV343" s="30"/>
      <c r="BW343" s="29"/>
      <c r="BX343" s="29"/>
      <c r="CK343" s="705"/>
      <c r="CL343" s="705"/>
      <c r="DA343" s="723" t="s">
        <v>298</v>
      </c>
      <c r="DB343" s="723" t="s">
        <v>298</v>
      </c>
      <c r="DC343" s="721"/>
      <c r="DD343" s="721"/>
      <c r="DE343" s="721"/>
    </row>
    <row r="344" spans="1:109" ht="15">
      <c r="A344" s="719" t="s">
        <v>331</v>
      </c>
      <c r="DE344" s="721" t="s">
        <v>332</v>
      </c>
    </row>
  </sheetData>
  <mergeCells count="29">
    <mergeCell ref="DC9:DE9"/>
    <mergeCell ref="DC10:DE10"/>
    <mergeCell ref="DC11:DE11"/>
    <mergeCell ref="G1:DB1"/>
    <mergeCell ref="G2:DB2"/>
    <mergeCell ref="G3:DB3"/>
    <mergeCell ref="G4:DB4"/>
    <mergeCell ref="G5:DB5"/>
    <mergeCell ref="F7:DA7"/>
    <mergeCell ref="F8:DA8"/>
    <mergeCell ref="F9:DA9"/>
    <mergeCell ref="DC7:DE7"/>
    <mergeCell ref="F10:DA10"/>
    <mergeCell ref="DC8:DE8"/>
    <mergeCell ref="A13:DE13"/>
    <mergeCell ref="DC17:DD17"/>
    <mergeCell ref="CC17:CC18"/>
    <mergeCell ref="BT17:BW17"/>
    <mergeCell ref="BX17:BX18"/>
    <mergeCell ref="BA18:BE18"/>
    <mergeCell ref="BL17:BO17"/>
    <mergeCell ref="BY17:CB17"/>
    <mergeCell ref="A14:DE14"/>
    <mergeCell ref="A15:DE15"/>
    <mergeCell ref="A19:B19"/>
    <mergeCell ref="A17:A18"/>
    <mergeCell ref="B17:B18"/>
    <mergeCell ref="C17:C18"/>
    <mergeCell ref="BP17:BS17"/>
  </mergeCells>
  <pageMargins left="0.98425196850393704" right="0.19685039370078741" top="0.19685039370078741" bottom="0.19685039370078741" header="0.31496062992125984" footer="0.31496062992125984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от 01.07 (2)</vt:lpstr>
      <vt:lpstr>от 01.07</vt:lpstr>
      <vt:lpstr>Лист4</vt:lpstr>
      <vt:lpstr>Лист4!Заголовки_для_печати</vt:lpstr>
      <vt:lpstr>'от 01.07'!Заголовки_для_печати</vt:lpstr>
      <vt:lpstr>'от 01.07 (2)'!Заголовки_для_печати</vt:lpstr>
      <vt:lpstr>'от 01.07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feen</cp:lastModifiedBy>
  <cp:revision>1</cp:revision>
  <cp:lastPrinted>2020-05-28T06:41:51Z</cp:lastPrinted>
  <dcterms:created xsi:type="dcterms:W3CDTF">2014-02-10T06:35:53Z</dcterms:created>
  <dcterms:modified xsi:type="dcterms:W3CDTF">2020-05-28T06:42:09Z</dcterms:modified>
</cp:coreProperties>
</file>