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1340" windowHeight="6795"/>
  </bookViews>
  <sheets>
    <sheet name="0503117 Отчет об исп" sheetId="1" r:id="rId1"/>
  </sheets>
  <calcPr calcId="124519"/>
</workbook>
</file>

<file path=xl/calcChain.xml><?xml version="1.0" encoding="utf-8"?>
<calcChain xmlns="http://schemas.openxmlformats.org/spreadsheetml/2006/main">
  <c r="P12" i="1"/>
  <c r="S12"/>
  <c r="W12"/>
  <c r="P13"/>
  <c r="S13"/>
  <c r="W13"/>
  <c r="P14"/>
  <c r="S14"/>
  <c r="W14"/>
  <c r="P15"/>
  <c r="S15"/>
  <c r="W15"/>
  <c r="P16"/>
  <c r="S16"/>
  <c r="W16"/>
  <c r="P17"/>
  <c r="S17"/>
  <c r="W17"/>
  <c r="P18"/>
  <c r="S18"/>
  <c r="W18"/>
  <c r="P19"/>
  <c r="S19"/>
  <c r="W19"/>
  <c r="P20"/>
  <c r="S20"/>
  <c r="W20"/>
  <c r="P21"/>
  <c r="S21"/>
  <c r="W21"/>
  <c r="P22"/>
  <c r="S22"/>
  <c r="W22"/>
  <c r="P23"/>
  <c r="S23"/>
  <c r="W23"/>
  <c r="P24"/>
  <c r="S24"/>
  <c r="W24"/>
  <c r="P25"/>
  <c r="S25"/>
  <c r="W25"/>
  <c r="P26"/>
  <c r="S26"/>
  <c r="W26"/>
  <c r="P27"/>
  <c r="S27"/>
  <c r="W27"/>
  <c r="P28"/>
  <c r="S28"/>
  <c r="W28"/>
  <c r="P29"/>
  <c r="S29"/>
  <c r="W29"/>
  <c r="P30"/>
  <c r="W30"/>
  <c r="S31"/>
  <c r="W31"/>
  <c r="S32"/>
  <c r="W32"/>
  <c r="P33"/>
  <c r="S33"/>
  <c r="W33"/>
  <c r="P34"/>
  <c r="S34"/>
  <c r="W34"/>
  <c r="P39"/>
  <c r="S39"/>
  <c r="W39"/>
  <c r="P40"/>
  <c r="S40"/>
  <c r="W40"/>
  <c r="P41"/>
  <c r="S41"/>
  <c r="W41"/>
  <c r="P42"/>
  <c r="W42"/>
  <c r="P43"/>
  <c r="W43"/>
  <c r="P44"/>
  <c r="W44"/>
  <c r="P45"/>
  <c r="W45"/>
  <c r="P46"/>
  <c r="W46"/>
  <c r="P47"/>
  <c r="W47"/>
  <c r="P48"/>
  <c r="S48"/>
  <c r="W48"/>
  <c r="P49"/>
  <c r="S49"/>
  <c r="W49"/>
  <c r="P50"/>
  <c r="S50"/>
  <c r="W50"/>
  <c r="P51"/>
  <c r="S51"/>
  <c r="W51"/>
  <c r="P52"/>
  <c r="S52"/>
  <c r="W52"/>
  <c r="P53"/>
  <c r="W53"/>
  <c r="P54"/>
  <c r="W54"/>
  <c r="P55"/>
  <c r="S55"/>
  <c r="W55"/>
  <c r="P56"/>
  <c r="S56"/>
  <c r="W56"/>
  <c r="P57"/>
  <c r="S57"/>
  <c r="W57"/>
  <c r="P58"/>
  <c r="W58"/>
  <c r="P59"/>
  <c r="S59"/>
  <c r="W59"/>
  <c r="P60"/>
  <c r="W60"/>
  <c r="P61"/>
  <c r="W61"/>
  <c r="P62"/>
  <c r="W62"/>
  <c r="P63"/>
  <c r="W63"/>
  <c r="P64"/>
  <c r="W64"/>
  <c r="P65"/>
  <c r="W65"/>
  <c r="P66"/>
  <c r="W66"/>
  <c r="P67"/>
  <c r="S67"/>
  <c r="W67"/>
  <c r="P68"/>
  <c r="W68"/>
  <c r="P69"/>
  <c r="W69"/>
  <c r="P70"/>
  <c r="W70"/>
  <c r="P71"/>
  <c r="W71"/>
  <c r="P72"/>
  <c r="W72"/>
  <c r="P73"/>
  <c r="S73"/>
  <c r="W73"/>
  <c r="P74"/>
  <c r="W74"/>
  <c r="P75"/>
  <c r="S75"/>
  <c r="W75"/>
  <c r="P76"/>
  <c r="S76"/>
  <c r="W76"/>
  <c r="P77"/>
  <c r="W77"/>
  <c r="P78"/>
  <c r="W78"/>
  <c r="P79"/>
  <c r="W79"/>
  <c r="P80"/>
  <c r="W80"/>
  <c r="P81"/>
  <c r="W81"/>
  <c r="P82"/>
  <c r="W82"/>
  <c r="P83"/>
  <c r="W83"/>
  <c r="P84"/>
  <c r="S84"/>
  <c r="W84"/>
  <c r="P85"/>
  <c r="S85"/>
  <c r="W85"/>
  <c r="P86"/>
  <c r="S86"/>
  <c r="W86"/>
  <c r="P87"/>
  <c r="W87"/>
  <c r="P88"/>
  <c r="S88"/>
  <c r="W88"/>
  <c r="P89"/>
  <c r="W89"/>
  <c r="P90"/>
  <c r="W90"/>
  <c r="P91"/>
  <c r="W91"/>
  <c r="P92"/>
  <c r="W92"/>
  <c r="P93"/>
  <c r="S93"/>
  <c r="W93"/>
  <c r="P94"/>
  <c r="W94"/>
  <c r="P95"/>
  <c r="W95"/>
  <c r="P96"/>
  <c r="W96"/>
  <c r="P97"/>
  <c r="S97"/>
  <c r="W97"/>
  <c r="P98"/>
  <c r="S98"/>
  <c r="W98"/>
  <c r="P99"/>
  <c r="S99"/>
  <c r="W99"/>
  <c r="P100"/>
  <c r="S100"/>
  <c r="W100"/>
  <c r="P101"/>
  <c r="W101"/>
  <c r="P102"/>
  <c r="W102"/>
  <c r="P103"/>
  <c r="W103"/>
  <c r="P104"/>
  <c r="S104"/>
  <c r="W104"/>
  <c r="P105"/>
  <c r="W105"/>
  <c r="P106"/>
  <c r="W106"/>
  <c r="P107"/>
  <c r="W107"/>
  <c r="P108"/>
  <c r="W108"/>
  <c r="P109"/>
  <c r="W109"/>
  <c r="P110"/>
  <c r="W110"/>
  <c r="P111"/>
  <c r="W111"/>
  <c r="P112"/>
  <c r="W112"/>
  <c r="P113"/>
  <c r="W113"/>
  <c r="P114"/>
  <c r="W114"/>
  <c r="P115"/>
  <c r="W115"/>
  <c r="P116"/>
  <c r="W116"/>
  <c r="P117"/>
  <c r="W117"/>
  <c r="P118"/>
  <c r="W118"/>
  <c r="P119"/>
  <c r="W119"/>
  <c r="P120"/>
  <c r="W120"/>
  <c r="P121"/>
  <c r="S121"/>
  <c r="W121"/>
  <c r="P122"/>
  <c r="W122"/>
  <c r="P123"/>
  <c r="W123"/>
  <c r="P124"/>
  <c r="W124"/>
  <c r="P125"/>
  <c r="W125"/>
  <c r="P126"/>
  <c r="S126"/>
  <c r="W126"/>
  <c r="P127"/>
  <c r="W127"/>
  <c r="P128"/>
  <c r="W128"/>
  <c r="P129"/>
  <c r="W129"/>
  <c r="P130"/>
  <c r="W130"/>
  <c r="P131"/>
  <c r="W131"/>
  <c r="P132"/>
  <c r="W132"/>
  <c r="P133"/>
  <c r="S133"/>
  <c r="W133"/>
  <c r="P134"/>
  <c r="W134"/>
  <c r="P135"/>
  <c r="W135"/>
  <c r="P136"/>
  <c r="S136"/>
  <c r="W136"/>
  <c r="P137"/>
  <c r="S137"/>
  <c r="W137"/>
  <c r="P138"/>
  <c r="S138"/>
  <c r="W138"/>
  <c r="P139"/>
  <c r="S139"/>
  <c r="W139"/>
  <c r="P140"/>
  <c r="W140"/>
  <c r="P141"/>
  <c r="W141"/>
  <c r="P142"/>
  <c r="W142"/>
  <c r="P143"/>
  <c r="W143"/>
  <c r="P144"/>
  <c r="W144"/>
  <c r="P145"/>
  <c r="S145"/>
  <c r="W145"/>
  <c r="P146"/>
  <c r="W146"/>
  <c r="P147"/>
  <c r="W147"/>
  <c r="P148"/>
  <c r="W148"/>
  <c r="P149"/>
  <c r="W149"/>
  <c r="P150"/>
  <c r="W150"/>
  <c r="P151"/>
  <c r="W151"/>
  <c r="P152"/>
  <c r="W152"/>
  <c r="P153"/>
  <c r="W153"/>
  <c r="P154"/>
  <c r="S154"/>
  <c r="W154"/>
  <c r="P155"/>
  <c r="S155"/>
  <c r="W155"/>
  <c r="P156"/>
  <c r="W156"/>
  <c r="P157"/>
  <c r="W157"/>
  <c r="P158"/>
  <c r="W158"/>
  <c r="P159"/>
  <c r="S159"/>
  <c r="W159"/>
  <c r="P160"/>
  <c r="S160"/>
  <c r="W160"/>
  <c r="P161"/>
  <c r="S161"/>
  <c r="W161"/>
  <c r="P162"/>
  <c r="S162"/>
  <c r="W162"/>
  <c r="P163"/>
  <c r="S163"/>
  <c r="W163"/>
  <c r="P164"/>
  <c r="S164"/>
  <c r="W164"/>
  <c r="P165"/>
  <c r="S165"/>
  <c r="W165"/>
  <c r="P166"/>
  <c r="W166"/>
  <c r="P167"/>
  <c r="S167"/>
  <c r="W167"/>
  <c r="P168"/>
  <c r="S168"/>
  <c r="W168"/>
  <c r="P169"/>
  <c r="S169"/>
  <c r="W169"/>
  <c r="P170"/>
  <c r="W170"/>
  <c r="P171"/>
  <c r="W171"/>
  <c r="P172"/>
  <c r="W172"/>
  <c r="P173"/>
  <c r="W173"/>
  <c r="P174"/>
  <c r="W174"/>
  <c r="P175"/>
  <c r="W175"/>
  <c r="P176"/>
  <c r="W176"/>
  <c r="P177"/>
  <c r="W177"/>
  <c r="P178"/>
  <c r="W178"/>
  <c r="P179"/>
  <c r="W179"/>
  <c r="P180"/>
  <c r="S180"/>
  <c r="W180"/>
  <c r="P181"/>
  <c r="W181"/>
  <c r="P182"/>
  <c r="W182"/>
  <c r="P183"/>
  <c r="W183"/>
  <c r="P184"/>
  <c r="S184"/>
  <c r="W184"/>
  <c r="P185"/>
  <c r="S185"/>
  <c r="W185"/>
  <c r="P186"/>
  <c r="S186"/>
  <c r="W186"/>
  <c r="P187"/>
  <c r="S187"/>
  <c r="P192"/>
  <c r="S192"/>
  <c r="W192"/>
  <c r="P194"/>
  <c r="W194"/>
  <c r="P195"/>
  <c r="W195"/>
  <c r="P196"/>
  <c r="W196"/>
  <c r="P197"/>
  <c r="W197"/>
  <c r="P198"/>
  <c r="W198"/>
  <c r="P202"/>
  <c r="S202"/>
  <c r="W202"/>
  <c r="P203"/>
  <c r="S203"/>
  <c r="P204"/>
  <c r="S204"/>
</calcChain>
</file>

<file path=xl/sharedStrings.xml><?xml version="1.0" encoding="utf-8"?>
<sst xmlns="http://schemas.openxmlformats.org/spreadsheetml/2006/main" count="791" uniqueCount="289">
  <si>
    <t>ОТЧЕТ ОБ ИСПОЛНЕНИИ БЮДЖЕТА</t>
  </si>
  <si>
    <t>КОДЫ</t>
  </si>
  <si>
    <t xml:space="preserve">Форма по ОКУД </t>
  </si>
  <si>
    <t>0503117</t>
  </si>
  <si>
    <t>на 1 марта 2015 г.</t>
  </si>
  <si>
    <t xml:space="preserve">Дата </t>
  </si>
  <si>
    <t>Наименование финансового органа</t>
  </si>
  <si>
    <t>Администрация Темрюкского городского поселения Темрюкского района</t>
  </si>
  <si>
    <t xml:space="preserve">по ОКПО </t>
  </si>
  <si>
    <t xml:space="preserve">Глава по БК </t>
  </si>
  <si>
    <t/>
  </si>
  <si>
    <t>Наименование публично-правового образования</t>
  </si>
  <si>
    <t>Бюджет Темрюкского городского поселения Темрюкского района</t>
  </si>
  <si>
    <t xml:space="preserve">по ОКТМО </t>
  </si>
  <si>
    <t>Периодичность:</t>
  </si>
  <si>
    <t>месячная</t>
  </si>
  <si>
    <t>Единица измерения:</t>
  </si>
  <si>
    <t>руб.</t>
  </si>
  <si>
    <t xml:space="preserve">по ОКЕИ </t>
  </si>
  <si>
    <t>383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</si>
  <si>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</si>
  <si>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</si>
  <si>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</si>
  <si>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</si>
  <si>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</si>
  <si>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</si>
  <si>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</si>
  <si>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</si>
  <si>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</si>
  <si>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3</t>
  </si>
  <si>
    <t>4</t>
  </si>
  <si>
    <t>5</t>
  </si>
  <si>
    <t>6</t>
  </si>
  <si>
    <t>Доходы бюджета всего, в т.ч.</t>
  </si>
  <si>
    <t>010</t>
  </si>
  <si>
    <t>х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</si>
  <si>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</si>
  <si>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</si>
  <si>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</si>
  <si>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</si>
  <si>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</si>
  <si>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</si>
  <si>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</si>
  <si>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</si>
  <si>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</si>
  <si>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</si>
  <si>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</si>
  <si>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</si>
  <si>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</si>
  <si>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</si>
  <si>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</si>
  <si>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182 10102040 01 0000 110</t>
  </si>
  <si>
    <t>Единый сельскохозяйственный налог</t>
  </si>
  <si>
    <t>182 10503010 01 0000 110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</si>
  <si>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</si>
  <si>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182 10601030 13 0000 110</t>
  </si>
  <si>
    <t>10606033</t>
  </si>
  <si>
    <t>182 10606033 13 0000 110</t>
  </si>
  <si>
    <t>10606043</t>
  </si>
  <si>
    <t>182 10606043 13 0000 110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</si>
  <si>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</si>
  <si>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821 11651040 02 0000 140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</si>
  <si>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</si>
  <si>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902 11105013 13 0000 120</t>
  </si>
  <si>
    <t>Доходы от продажи земельных участков, государственная собственность на которые не разграничена и которые расположены в границах межселенных территорий муниципальных районов</t>
  </si>
  <si>
    <t>902 11406013 13 0000 430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</si>
  <si>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</si>
  <si>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992 11105035 13 0000 120</t>
  </si>
  <si>
    <t>Прочие доходы от компенсации затрат бюджетов муниципальных районов</t>
  </si>
  <si>
    <t>992 11302995 13 0000 130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</si>
  <si>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</si>
  <si>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992 11690050 13 0000 140</t>
  </si>
  <si>
    <t>-</t>
  </si>
  <si>
    <t>Невыясненные поступления, зачисляемые в бюджеты муниципальных районов</t>
  </si>
  <si>
    <t>992 11701050 13 0000 180</t>
  </si>
  <si>
    <t>Прочие неналоговые доходы бюджетов муниципальных районов</t>
  </si>
  <si>
    <t>992 11705050 13 0000 180</t>
  </si>
  <si>
    <t>Субвенции местным бюджетам на выполнение передаваемых полномочий субъектов Российской Федерации</t>
  </si>
  <si>
    <t>992 20203024 13 0000 151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</si>
  <si>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</si>
  <si>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992 21905000 13 0000 151</t>
  </si>
  <si>
    <t>2. Расходы бюджета</t>
  </si>
  <si>
    <t>Код расхода по бюджетной классификации</t>
  </si>
  <si>
    <t>Расходы бюджета всего, в т.ч.</t>
  </si>
  <si>
    <t>200</t>
  </si>
  <si>
    <t>Заработная плата</t>
  </si>
  <si>
    <t>991 0103 4910019 121 211</t>
  </si>
  <si>
    <t>Начисления на выплаты по оплате труда</t>
  </si>
  <si>
    <t>991 0103 4910019 121 213</t>
  </si>
  <si>
    <t>Прочие работы, услуги</t>
  </si>
  <si>
    <t>991 0103 4910019 123 226</t>
  </si>
  <si>
    <t>Услуги связи</t>
  </si>
  <si>
    <t>991 0103 4910019 244 221</t>
  </si>
  <si>
    <t>Работы, услуги по содержанию имущества</t>
  </si>
  <si>
    <t>991 0103 4910019 244 225</t>
  </si>
  <si>
    <t>991 0103 4910019 244 226</t>
  </si>
  <si>
    <t>Увеличение стоимости материальных запасов</t>
  </si>
  <si>
    <t>991 0103 4910019 244 340</t>
  </si>
  <si>
    <t>Прочие расходы</t>
  </si>
  <si>
    <t>991 0103 4910019 851 290</t>
  </si>
  <si>
    <t>991 0103 4910019 852 290</t>
  </si>
  <si>
    <t>992 0102 5010019 121 211</t>
  </si>
  <si>
    <t>992 0102 5010019 121 213</t>
  </si>
  <si>
    <t>992 0104 5110019 121 211</t>
  </si>
  <si>
    <t>992 0104 5110019 121 213</t>
  </si>
  <si>
    <t>Прочие выплаты</t>
  </si>
  <si>
    <t>992 0104 5110019 122 212</t>
  </si>
  <si>
    <t>992 0104 5110019 122 226</t>
  </si>
  <si>
    <t>992 0104 5110019 244 221</t>
  </si>
  <si>
    <t>Коммунальные услуги</t>
  </si>
  <si>
    <t>992 0104 5110019 244 223</t>
  </si>
  <si>
    <t>992 0104 5110019 244 226</t>
  </si>
  <si>
    <t>992 0104 5110019 851 290</t>
  </si>
  <si>
    <t>992 0104 5110019 852 290</t>
  </si>
  <si>
    <t>992 0104 5126019 244 340</t>
  </si>
  <si>
    <t>Перечисления другим бюджетам бюджетной системы Российской Федерации</t>
  </si>
  <si>
    <t>992 0106 5130019 540 251</t>
  </si>
  <si>
    <t>992 0111 5140000 870 290</t>
  </si>
  <si>
    <t>992 0113 5201001 243 226</t>
  </si>
  <si>
    <t>992 0113 5201001 244 226</t>
  </si>
  <si>
    <t>992 0113 5201002 243 225</t>
  </si>
  <si>
    <t>992 0113 5201002 243 226</t>
  </si>
  <si>
    <t>992 0113 5201002 244 223</t>
  </si>
  <si>
    <t>992 0113 5201002 244 225</t>
  </si>
  <si>
    <t>992 0113 5201002 244 226</t>
  </si>
  <si>
    <t>992 0113 5201002 414 226</t>
  </si>
  <si>
    <t>Увеличение стоимости основных средств</t>
  </si>
  <si>
    <t>992 0113 5201002 414 310</t>
  </si>
  <si>
    <t>992 0113 5201002 851 290</t>
  </si>
  <si>
    <t>992 0113 5201002 852 290</t>
  </si>
  <si>
    <t>992 0113 5301003 244 290</t>
  </si>
  <si>
    <t>992 0113 5401004 111 211</t>
  </si>
  <si>
    <t>992 0113 5401004 111 213</t>
  </si>
  <si>
    <t>992 0113 5401004 112 212</t>
  </si>
  <si>
    <t>Транспортные услуги</t>
  </si>
  <si>
    <t>992 0113 5401004 112 222</t>
  </si>
  <si>
    <t>992 0113 5401004 112 226</t>
  </si>
  <si>
    <t>992 0113 5401004 244 225</t>
  </si>
  <si>
    <t>992 0113 5401004 244 226</t>
  </si>
  <si>
    <t>992 0113 5401004 244 310</t>
  </si>
  <si>
    <t>992 0113 5401004 244 340</t>
  </si>
  <si>
    <t>992 0113 5401004 852 290</t>
  </si>
  <si>
    <t>Безвозмездные перечисления государственным и муниципальным организациям</t>
  </si>
  <si>
    <t>992 0113 5401005 611 241</t>
  </si>
  <si>
    <t>992 0113 5501006 360 290</t>
  </si>
  <si>
    <t>992 0113 5601007 244 226</t>
  </si>
  <si>
    <t>992 0113 5701008 244 221</t>
  </si>
  <si>
    <t>992 0113 5701008 244 225</t>
  </si>
  <si>
    <t>992 0113 5701008 244 226</t>
  </si>
  <si>
    <t>992 0113 5701008 244 310</t>
  </si>
  <si>
    <t>992 0113 5701008 244 340</t>
  </si>
  <si>
    <t>992 0113 5801009 244 226</t>
  </si>
  <si>
    <t>992 0113 5901010 121 211</t>
  </si>
  <si>
    <t>992 0113 5901010 121 213</t>
  </si>
  <si>
    <t>992 0113 5901010 244 340</t>
  </si>
  <si>
    <t>992 0113 6001011 122 212</t>
  </si>
  <si>
    <t>992 0113 6001011 122 222</t>
  </si>
  <si>
    <t>992 0113 6001011 122 226</t>
  </si>
  <si>
    <t>992 0113 6001011 244 226</t>
  </si>
  <si>
    <t>992 0309 6101012 244 226</t>
  </si>
  <si>
    <t>992 0314 6201013 244 340</t>
  </si>
  <si>
    <t>992 0408 6301014 244 340</t>
  </si>
  <si>
    <t>Безвозмездные перечисления организациям, за исключением государственных и муниципальных организаций</t>
  </si>
  <si>
    <t>992 0408 6301014 810 242</t>
  </si>
  <si>
    <t>992 0409 6401015 244 225</t>
  </si>
  <si>
    <t>992 0409 6401015 244 310</t>
  </si>
  <si>
    <t>992 0409 6401015 244 340</t>
  </si>
  <si>
    <t>992 0409 6401015 414 226</t>
  </si>
  <si>
    <t>992 0409 6401015 414 310</t>
  </si>
  <si>
    <t>992 0409 6406527 244 225</t>
  </si>
  <si>
    <t>992 0412 6501016 244 226</t>
  </si>
  <si>
    <t>992 0412 6502016 244 226</t>
  </si>
  <si>
    <t>992 0412 6601017 810 242</t>
  </si>
  <si>
    <t>992 0502 6701018 410 226</t>
  </si>
  <si>
    <t>992 0502 6701018 410 310</t>
  </si>
  <si>
    <t>992 0502 6701018 414 226</t>
  </si>
  <si>
    <t>992 0502 6701018 414 310</t>
  </si>
  <si>
    <t>992 0502 6801019 244 225</t>
  </si>
  <si>
    <t>992 0502 6901020 244 225</t>
  </si>
  <si>
    <t>992 0502 6901020 414 226</t>
  </si>
  <si>
    <t>992 0503 7001021 244 223</t>
  </si>
  <si>
    <t>992 0503 7001021 244 226</t>
  </si>
  <si>
    <t>992 0503 7001022 244 223</t>
  </si>
  <si>
    <t>992 0503 7001022 244 310</t>
  </si>
  <si>
    <t>992 0503 7001022 414 310</t>
  </si>
  <si>
    <t>992 0503 7001023 244 223</t>
  </si>
  <si>
    <t>992 0503 7001023 244 225</t>
  </si>
  <si>
    <t>992 0503 7001023 244 226</t>
  </si>
  <si>
    <t>992 0503 7001023 244 310</t>
  </si>
  <si>
    <t>992 0503 7001023 244 340</t>
  </si>
  <si>
    <t>992 0503 7002023 244 310</t>
  </si>
  <si>
    <t>992 0503 7101024 244 226</t>
  </si>
  <si>
    <t>992 0503 7101025 244 225</t>
  </si>
  <si>
    <t>992 0503 9901021 244 223</t>
  </si>
  <si>
    <t>992 0505 9901038 810 241</t>
  </si>
  <si>
    <t>992 0707 7201026 111 211</t>
  </si>
  <si>
    <t>992 0707 7201026 111 213</t>
  </si>
  <si>
    <t>992 0707 7201026 244 221</t>
  </si>
  <si>
    <t>992 0707 7201026 244 223</t>
  </si>
  <si>
    <t>992 0707 7201026 244 225</t>
  </si>
  <si>
    <t>992 0707 7201026 244 226</t>
  </si>
  <si>
    <t>992 0707 7201026 244 310</t>
  </si>
  <si>
    <t>992 0707 7201026 244 340</t>
  </si>
  <si>
    <t>992 0707 7201026 851 290</t>
  </si>
  <si>
    <t>992 0707 7201026 852 290</t>
  </si>
  <si>
    <t>992 0707 7201027 111 211</t>
  </si>
  <si>
    <t>992 0707 7201027 111 213</t>
  </si>
  <si>
    <t>992 0707 7201027 244 222</t>
  </si>
  <si>
    <t>992 0707 7201027 244 226</t>
  </si>
  <si>
    <t>992 0707 7201027 244 290</t>
  </si>
  <si>
    <t>992 0707 7201027 244 310</t>
  </si>
  <si>
    <t>992 0707 7201027 244 340</t>
  </si>
  <si>
    <t>Пособия по социальной помощи населению</t>
  </si>
  <si>
    <t>992 0707 7201027 323 262</t>
  </si>
  <si>
    <t>992 0801 7301028 111 211</t>
  </si>
  <si>
    <t>992 0801 7301028 111 213</t>
  </si>
  <si>
    <t>992 0801 7301028 112 212</t>
  </si>
  <si>
    <t>992 0801 7301028 112 222</t>
  </si>
  <si>
    <t>992 0801 7301028 112 226</t>
  </si>
  <si>
    <t>992 0801 7301028 244 221</t>
  </si>
  <si>
    <t>992 0801 7301028 244 223</t>
  </si>
  <si>
    <t>992 0801 7301028 244 225</t>
  </si>
  <si>
    <t>992 0801 7301028 244 226</t>
  </si>
  <si>
    <t>992 0801 7301028 244 290</t>
  </si>
  <si>
    <t>992 0801 7301028 244 310</t>
  </si>
  <si>
    <t>992 0801 7301028 244 340</t>
  </si>
  <si>
    <t>992 0801 7301028 851 290</t>
  </si>
  <si>
    <t>992 0801 7301028 852 290</t>
  </si>
  <si>
    <t>992 0801 7301030 611 241</t>
  </si>
  <si>
    <t>992 0801 7301031 621 241</t>
  </si>
  <si>
    <t>992 0801 7301032 612 241</t>
  </si>
  <si>
    <t>992 0801 7301033 244 225</t>
  </si>
  <si>
    <t>992 0801 7306512 111 211</t>
  </si>
  <si>
    <t>992 0801 7306512 111 213</t>
  </si>
  <si>
    <t>992 0801 7306512 611 241</t>
  </si>
  <si>
    <t>992 0801 7306512 612 241</t>
  </si>
  <si>
    <t>992 0801 7306526 612 241</t>
  </si>
  <si>
    <t>992 1003 7401033 322 262</t>
  </si>
  <si>
    <t>992 1003 7407520 322 262</t>
  </si>
  <si>
    <t>992 1003 7501034 310 262</t>
  </si>
  <si>
    <t>992 1003 7501034 313 262</t>
  </si>
  <si>
    <t>992 1003 7501034 320 262</t>
  </si>
  <si>
    <t>992 1003 7501034 322 262</t>
  </si>
  <si>
    <t>992 1006 7501034 244 290</t>
  </si>
  <si>
    <t>992 1006 7601035 630 242</t>
  </si>
  <si>
    <t>992 1101 7701036 611 241</t>
  </si>
  <si>
    <t>Обслуживание внутреннего долга</t>
  </si>
  <si>
    <t>992 1301 7809999 730 231</t>
  </si>
  <si>
    <t>Результат исполнения бюджета (дефицит\ профицит)</t>
  </si>
  <si>
    <t>450</t>
  </si>
  <si>
    <t>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</si>
  <si>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</si>
  <si>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</si>
  <si>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</si>
  <si>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 xml:space="preserve">     в том числе:</t>
  </si>
  <si>
    <t>источники внутреннего финансирования бюджета, из них:</t>
  </si>
  <si>
    <t>520</t>
  </si>
  <si>
    <t>Бюджетные кредиты от других бюджетов бюджетной системы Российской Федерации в валюте Российской Федерации</t>
  </si>
  <si>
    <t>992 01030100 13 0000 710</t>
  </si>
  <si>
    <t>992 01030100 13 0000 810</t>
  </si>
  <si>
    <t>Исполнение государственных и муниципальных гарантий в валюте Российской Федерации</t>
  </si>
  <si>
    <t>992 01060401 13 0000 810</t>
  </si>
  <si>
    <t>Возврат бюджетных кредитов, предоставленных юридическим лицам в валюте Российской Федерации</t>
  </si>
  <si>
    <t>992 01060501 13 0000 640</t>
  </si>
  <si>
    <t>источники внешнего финансирования бюджета, из них:</t>
  </si>
  <si>
    <t>620</t>
  </si>
  <si>
    <t>Изменение остатков средств</t>
  </si>
  <si>
    <t>700</t>
  </si>
  <si>
    <t>01050000 00 0000 000</t>
  </si>
  <si>
    <t xml:space="preserve">     увеличение остатков средств</t>
  </si>
  <si>
    <t>710</t>
  </si>
  <si>
    <t>992 01050201 10 0000 510</t>
  </si>
  <si>
    <t xml:space="preserve">     уменьшение остатков средств</t>
  </si>
  <si>
    <t>720</t>
  </si>
  <si>
    <t>992 01050201 10 0000 610</t>
  </si>
  <si>
    <t>Глава Темрюкского городского поселения Темрюкского района</t>
  </si>
  <si>
    <t>Войтов А. Д.</t>
  </si>
  <si>
    <t>(подпись)</t>
  </si>
  <si>
    <t>(расшифровка подписи)</t>
  </si>
  <si>
    <t>Директор  МКУ ТГП  ТР "ЦБ"</t>
  </si>
  <si>
    <t>Зырянова Л. В.</t>
  </si>
  <si>
    <t>Главный бухгалтер "ЦБ"</t>
  </si>
  <si>
    <t>Настыченко В. М.</t>
  </si>
  <si>
    <t>Исполнитель:</t>
  </si>
  <si>
    <t>Начальник отдела по финасам и бюджету</t>
  </si>
  <si>
    <t>Радченко О. В.</t>
  </si>
  <si>
    <t>(должность)</t>
  </si>
  <si>
    <t xml:space="preserve">   18 мая 2015 г.   </t>
  </si>
  <si>
    <t>Форма 0503117 с.1</t>
  </si>
</sst>
</file>

<file path=xl/styles.xml><?xml version="1.0" encoding="utf-8"?>
<styleSheet xmlns="http://schemas.openxmlformats.org/spreadsheetml/2006/main">
  <fonts count="7">
    <font>
      <sz val="10"/>
      <color indexed="64"/>
      <name val="Arial"/>
      <charset val="1"/>
    </font>
    <font>
      <b/>
      <sz val="9"/>
      <color indexed="8"/>
      <name val="Tahoma"/>
      <charset val="1"/>
    </font>
    <font>
      <sz val="8"/>
      <color indexed="8"/>
      <name val="Tahoma"/>
      <charset val="1"/>
    </font>
    <font>
      <i/>
      <sz val="8"/>
      <color indexed="8"/>
      <name val="Tahoma"/>
      <charset val="1"/>
    </font>
    <font>
      <b/>
      <sz val="8"/>
      <color indexed="8"/>
      <name val="Tahoma"/>
      <charset val="1"/>
    </font>
    <font>
      <sz val="7"/>
      <color indexed="8"/>
      <name val="Tahoma"/>
      <charset val="1"/>
    </font>
    <font>
      <u/>
      <sz val="8"/>
      <color indexed="8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NumberFormat="1"/>
    <xf numFmtId="0" fontId="1" fillId="2" borderId="0" xfId="0" applyNumberFormat="1" applyFont="1" applyFill="1" applyAlignment="1">
      <alignment horizont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right" wrapText="1"/>
    </xf>
    <xf numFmtId="0" fontId="2" fillId="2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left" wrapText="1"/>
    </xf>
    <xf numFmtId="0" fontId="3" fillId="2" borderId="5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left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Alignment="1">
      <alignment horizont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left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4" xfId="0" applyNumberFormat="1" applyFont="1" applyFill="1" applyBorder="1" applyAlignment="1">
      <alignment horizontal="right" vertical="center" wrapText="1"/>
    </xf>
    <xf numFmtId="0" fontId="2" fillId="2" borderId="15" xfId="0" applyNumberFormat="1" applyFont="1" applyFill="1" applyBorder="1" applyAlignment="1">
      <alignment horizontal="left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right" vertical="center" wrapText="1"/>
    </xf>
    <xf numFmtId="4" fontId="2" fillId="2" borderId="17" xfId="0" applyNumberFormat="1" applyFont="1" applyFill="1" applyBorder="1" applyAlignment="1">
      <alignment horizontal="right" vertical="center" wrapText="1"/>
    </xf>
    <xf numFmtId="0" fontId="2" fillId="2" borderId="16" xfId="0" applyNumberFormat="1" applyFont="1" applyFill="1" applyBorder="1" applyAlignment="1">
      <alignment horizontal="right" vertical="center" wrapText="1"/>
    </xf>
    <xf numFmtId="0" fontId="4" fillId="2" borderId="18" xfId="0" applyNumberFormat="1" applyFont="1" applyFill="1" applyBorder="1" applyAlignment="1">
      <alignment horizont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4" fontId="2" fillId="2" borderId="20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horizontal="righ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4" fontId="2" fillId="2" borderId="22" xfId="0" applyNumberFormat="1" applyFont="1" applyFill="1" applyBorder="1" applyAlignment="1">
      <alignment horizontal="right" vertical="center" wrapText="1"/>
    </xf>
    <xf numFmtId="0" fontId="2" fillId="2" borderId="23" xfId="0" applyNumberFormat="1" applyFont="1" applyFill="1" applyBorder="1" applyAlignment="1">
      <alignment horizontal="center" vertical="center" wrapText="1"/>
    </xf>
    <xf numFmtId="4" fontId="2" fillId="2" borderId="26" xfId="0" applyNumberFormat="1" applyFont="1" applyFill="1" applyBorder="1" applyAlignment="1">
      <alignment horizontal="right" vertical="center" wrapText="1"/>
    </xf>
    <xf numFmtId="4" fontId="2" fillId="2" borderId="29" xfId="0" applyNumberFormat="1" applyFont="1" applyFill="1" applyBorder="1" applyAlignment="1">
      <alignment horizontal="right" vertical="center" wrapText="1"/>
    </xf>
    <xf numFmtId="0" fontId="2" fillId="2" borderId="11" xfId="0" applyNumberFormat="1" applyFont="1" applyFill="1" applyBorder="1" applyAlignment="1">
      <alignment horizontal="left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horizontal="right" vertical="center" wrapText="1"/>
    </xf>
    <xf numFmtId="0" fontId="2" fillId="2" borderId="28" xfId="0" applyNumberFormat="1" applyFont="1" applyFill="1" applyBorder="1" applyAlignment="1">
      <alignment horizontal="right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4" fontId="2" fillId="2" borderId="24" xfId="0" applyNumberFormat="1" applyFont="1" applyFill="1" applyBorder="1" applyAlignment="1">
      <alignment horizontal="right" vertical="center" wrapText="1"/>
    </xf>
    <xf numFmtId="4" fontId="2" fillId="2" borderId="27" xfId="0" applyNumberFormat="1" applyFont="1" applyFill="1" applyBorder="1" applyAlignment="1">
      <alignment horizontal="right" vertical="center" wrapText="1"/>
    </xf>
    <xf numFmtId="4" fontId="2" fillId="2" borderId="30" xfId="0" applyNumberFormat="1" applyFont="1" applyFill="1" applyBorder="1" applyAlignment="1">
      <alignment horizontal="right" vertical="center" wrapText="1"/>
    </xf>
    <xf numFmtId="4" fontId="2" fillId="2" borderId="3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right" vertical="center" wrapText="1"/>
    </xf>
    <xf numFmtId="0" fontId="2" fillId="2" borderId="31" xfId="0" applyNumberFormat="1" applyFont="1" applyFill="1" applyBorder="1" applyAlignment="1">
      <alignment horizontal="right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5" fillId="2" borderId="32" xfId="0" applyNumberFormat="1" applyFont="1" applyFill="1" applyBorder="1" applyAlignment="1">
      <alignment horizontal="center" wrapText="1"/>
    </xf>
    <xf numFmtId="0" fontId="6" fillId="2" borderId="0" xfId="0" applyNumberFormat="1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X219"/>
  <sheetViews>
    <sheetView tabSelected="1" workbookViewId="0">
      <selection sqref="A1:W1"/>
    </sheetView>
  </sheetViews>
  <sheetFormatPr defaultRowHeight="12.75"/>
  <cols>
    <col min="1" max="1" width="13.7109375" style="1" customWidth="1"/>
    <col min="2" max="3" width="1.7109375" style="1" customWidth="1"/>
    <col min="4" max="4" width="0.140625" style="1" customWidth="1"/>
    <col min="5" max="5" width="13.7109375" style="1" customWidth="1"/>
    <col min="6" max="6" width="9.7109375" style="1" customWidth="1"/>
    <col min="7" max="7" width="4.7109375" style="1" customWidth="1"/>
    <col min="8" max="8" width="1.7109375" style="1" customWidth="1"/>
    <col min="9" max="9" width="2.7109375" style="1" customWidth="1"/>
    <col min="10" max="10" width="1.7109375" style="1" customWidth="1"/>
    <col min="11" max="11" width="13.7109375" style="1" customWidth="1"/>
    <col min="12" max="13" width="3.7109375" style="1" customWidth="1"/>
    <col min="14" max="14" width="2.7109375" style="1" customWidth="1"/>
    <col min="15" max="15" width="21.7109375" style="1" customWidth="1"/>
    <col min="16" max="17" width="2.7109375" style="1" customWidth="1"/>
    <col min="18" max="18" width="12.7109375" style="1" customWidth="1"/>
    <col min="19" max="19" width="7.7109375" style="1" customWidth="1"/>
    <col min="20" max="20" width="3.7109375" style="1" customWidth="1"/>
    <col min="21" max="21" width="1.7109375" style="1" customWidth="1"/>
    <col min="22" max="23" width="4.7109375" style="1" customWidth="1"/>
    <col min="24" max="24" width="12.7109375" style="1" customWidth="1"/>
  </cols>
  <sheetData>
    <row r="1" spans="1:24" s="1" customFormat="1" ht="14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 t="s">
        <v>1</v>
      </c>
    </row>
    <row r="2" spans="1:24" s="1" customFormat="1" ht="14.1" customHeight="1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 t="s">
        <v>3</v>
      </c>
    </row>
    <row r="3" spans="1:24" s="1" customFormat="1" ht="14.1" customHeight="1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4" t="s">
        <v>5</v>
      </c>
      <c r="W3" s="4"/>
      <c r="X3" s="6">
        <v>42064</v>
      </c>
    </row>
    <row r="4" spans="1:24" s="1" customFormat="1" ht="14.1" customHeight="1">
      <c r="A4" s="7" t="s">
        <v>6</v>
      </c>
      <c r="B4" s="7"/>
      <c r="C4" s="7"/>
      <c r="D4" s="7"/>
      <c r="E4" s="7"/>
      <c r="F4" s="8" t="s">
        <v>7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4" t="s">
        <v>8</v>
      </c>
      <c r="V4" s="4"/>
      <c r="W4" s="4"/>
      <c r="X4" s="9" t="s">
        <v>10</v>
      </c>
    </row>
    <row r="5" spans="1:24" s="1" customFormat="1" ht="14.1" customHeight="1">
      <c r="A5" s="7"/>
      <c r="B5" s="7"/>
      <c r="C5" s="7"/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4" t="s">
        <v>9</v>
      </c>
      <c r="V5" s="4"/>
      <c r="W5" s="4"/>
      <c r="X5" s="9" t="s">
        <v>10</v>
      </c>
    </row>
    <row r="6" spans="1:24" s="1" customFormat="1" ht="14.1" customHeight="1">
      <c r="A6" s="7" t="s">
        <v>11</v>
      </c>
      <c r="B6" s="7"/>
      <c r="C6" s="7"/>
      <c r="D6" s="7"/>
      <c r="E6" s="7"/>
      <c r="F6" s="7"/>
      <c r="G6" s="8" t="s">
        <v>12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4" t="s">
        <v>13</v>
      </c>
      <c r="V6" s="4"/>
      <c r="W6" s="4"/>
      <c r="X6" s="9" t="s">
        <v>10</v>
      </c>
    </row>
    <row r="7" spans="1:24" s="1" customFormat="1" ht="14.1" customHeight="1">
      <c r="A7" s="10" t="s">
        <v>14</v>
      </c>
      <c r="B7" s="7" t="s">
        <v>15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9" t="s">
        <v>10</v>
      </c>
    </row>
    <row r="8" spans="1:24" s="1" customFormat="1" ht="14.1" customHeight="1">
      <c r="A8" s="7" t="s">
        <v>16</v>
      </c>
      <c r="B8" s="7"/>
      <c r="C8" s="7"/>
      <c r="D8" s="7"/>
      <c r="E8" s="7" t="s">
        <v>17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4" t="s">
        <v>18</v>
      </c>
      <c r="U8" s="4"/>
      <c r="V8" s="4"/>
      <c r="W8" s="4"/>
      <c r="X8" s="11" t="s">
        <v>19</v>
      </c>
    </row>
    <row r="9" spans="1:24" s="1" customFormat="1" ht="14.1" customHeight="1">
      <c r="A9" s="12" t="s">
        <v>20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s="1" customFormat="1" ht="35.1" customHeight="1">
      <c r="A10" s="13" t="s">
        <v>21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 t="s">
        <v>22</v>
      </c>
      <c r="M10" s="13"/>
      <c r="N10" s="13" t="s">
        <v>23</v>
      </c>
      <c r="O10" s="13"/>
      <c r="P10" s="14" t="s">
        <v>24</v>
      </c>
      <c r="Q10" s="14"/>
      <c r="R10" s="14"/>
      <c r="S10" s="14" t="s">
        <v>25</v>
      </c>
      <c r="T10" s="14"/>
      <c r="U10" s="14"/>
      <c r="V10" s="14"/>
      <c r="W10" s="15" t="s">
        <v>26</v>
      </c>
      <c r="X10" s="15"/>
    </row>
    <row r="11" spans="1:24" s="1" customFormat="1" ht="12.95" customHeight="1">
      <c r="A11" s="16" t="s">
        <v>27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 t="s">
        <v>28</v>
      </c>
      <c r="M11" s="16"/>
      <c r="N11" s="16" t="s">
        <v>29</v>
      </c>
      <c r="O11" s="16"/>
      <c r="P11" s="17" t="s">
        <v>30</v>
      </c>
      <c r="Q11" s="17"/>
      <c r="R11" s="17"/>
      <c r="S11" s="17" t="s">
        <v>31</v>
      </c>
      <c r="T11" s="17"/>
      <c r="U11" s="17"/>
      <c r="V11" s="17"/>
      <c r="W11" s="18" t="s">
        <v>32</v>
      </c>
      <c r="X11" s="18"/>
    </row>
    <row r="12" spans="1:24" s="1" customFormat="1" ht="14.1" customHeight="1">
      <c r="A12" s="19" t="s">
        <v>33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20" t="s">
        <v>34</v>
      </c>
      <c r="M12" s="20"/>
      <c r="N12" s="20" t="s">
        <v>35</v>
      </c>
      <c r="O12" s="20"/>
      <c r="P12" s="21">
        <f>175109771.29</f>
        <v>175109771.28999999</v>
      </c>
      <c r="Q12" s="21"/>
      <c r="R12" s="21"/>
      <c r="S12" s="21">
        <f>23642858.97</f>
        <v>23642858.969999999</v>
      </c>
      <c r="T12" s="21"/>
      <c r="U12" s="21"/>
      <c r="V12" s="21"/>
      <c r="W12" s="22">
        <f>151466912.32</f>
        <v>151466912.31999999</v>
      </c>
      <c r="X12" s="22"/>
    </row>
    <row r="13" spans="1:24" s="1" customFormat="1" ht="45" customHeight="1">
      <c r="A13" s="23" t="s">
        <v>36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 t="s">
        <v>34</v>
      </c>
      <c r="M13" s="24"/>
      <c r="N13" s="24" t="s">
        <v>37</v>
      </c>
      <c r="O13" s="24"/>
      <c r="P13" s="25">
        <f>1550000</f>
        <v>1550000</v>
      </c>
      <c r="Q13" s="25"/>
      <c r="R13" s="25"/>
      <c r="S13" s="25">
        <f>272538.63</f>
        <v>272538.63</v>
      </c>
      <c r="T13" s="25"/>
      <c r="U13" s="25"/>
      <c r="V13" s="25"/>
      <c r="W13" s="26">
        <f>1277461.37</f>
        <v>1277461.3700000001</v>
      </c>
      <c r="X13" s="26"/>
    </row>
    <row r="14" spans="1:24" s="1" customFormat="1" ht="54.95" customHeight="1">
      <c r="A14" s="23" t="s">
        <v>38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 t="s">
        <v>34</v>
      </c>
      <c r="M14" s="24"/>
      <c r="N14" s="24" t="s">
        <v>39</v>
      </c>
      <c r="O14" s="24"/>
      <c r="P14" s="25">
        <f>53000</f>
        <v>53000</v>
      </c>
      <c r="Q14" s="25"/>
      <c r="R14" s="25"/>
      <c r="S14" s="25">
        <f>6520.5</f>
        <v>6520.5</v>
      </c>
      <c r="T14" s="25"/>
      <c r="U14" s="25"/>
      <c r="V14" s="25"/>
      <c r="W14" s="26">
        <f>46479.5</f>
        <v>46479.5</v>
      </c>
      <c r="X14" s="26"/>
    </row>
    <row r="15" spans="1:24" s="1" customFormat="1" ht="45" customHeight="1">
      <c r="A15" s="23" t="s">
        <v>40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 t="s">
        <v>34</v>
      </c>
      <c r="M15" s="24"/>
      <c r="N15" s="24" t="s">
        <v>41</v>
      </c>
      <c r="O15" s="24"/>
      <c r="P15" s="25">
        <f>2774000</f>
        <v>2774000</v>
      </c>
      <c r="Q15" s="25"/>
      <c r="R15" s="25"/>
      <c r="S15" s="25">
        <f>474332.47</f>
        <v>474332.47</v>
      </c>
      <c r="T15" s="25"/>
      <c r="U15" s="25"/>
      <c r="V15" s="25"/>
      <c r="W15" s="26">
        <f>2299667.53</f>
        <v>2299667.5299999998</v>
      </c>
      <c r="X15" s="26"/>
    </row>
    <row r="16" spans="1:24" s="1" customFormat="1" ht="45" customHeight="1">
      <c r="A16" s="23" t="s">
        <v>42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 t="s">
        <v>34</v>
      </c>
      <c r="M16" s="24"/>
      <c r="N16" s="24" t="s">
        <v>43</v>
      </c>
      <c r="O16" s="24"/>
      <c r="P16" s="25">
        <f>73000</f>
        <v>73000</v>
      </c>
      <c r="Q16" s="25"/>
      <c r="R16" s="25"/>
      <c r="S16" s="25">
        <f>-30140.55</f>
        <v>-30140.55</v>
      </c>
      <c r="T16" s="25"/>
      <c r="U16" s="25"/>
      <c r="V16" s="25"/>
      <c r="W16" s="26">
        <f>103140.55</f>
        <v>103140.55</v>
      </c>
      <c r="X16" s="26"/>
    </row>
    <row r="17" spans="1:24" s="1" customFormat="1" ht="45" customHeight="1">
      <c r="A17" s="23" t="s">
        <v>44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 t="s">
        <v>34</v>
      </c>
      <c r="M17" s="24"/>
      <c r="N17" s="24" t="s">
        <v>45</v>
      </c>
      <c r="O17" s="24"/>
      <c r="P17" s="25">
        <f>72928000</f>
        <v>72928000</v>
      </c>
      <c r="Q17" s="25"/>
      <c r="R17" s="25"/>
      <c r="S17" s="25">
        <f>9955461.41</f>
        <v>9955461.4100000001</v>
      </c>
      <c r="T17" s="25"/>
      <c r="U17" s="25"/>
      <c r="V17" s="25"/>
      <c r="W17" s="26">
        <f>62972538.59</f>
        <v>62972538.590000004</v>
      </c>
      <c r="X17" s="26"/>
    </row>
    <row r="18" spans="1:24" s="1" customFormat="1" ht="66" customHeight="1">
      <c r="A18" s="23" t="s">
        <v>46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4" t="s">
        <v>34</v>
      </c>
      <c r="M18" s="24"/>
      <c r="N18" s="24" t="s">
        <v>47</v>
      </c>
      <c r="O18" s="24"/>
      <c r="P18" s="25">
        <f>640000</f>
        <v>640000</v>
      </c>
      <c r="Q18" s="25"/>
      <c r="R18" s="25"/>
      <c r="S18" s="25">
        <f>75755.58</f>
        <v>75755.58</v>
      </c>
      <c r="T18" s="25"/>
      <c r="U18" s="25"/>
      <c r="V18" s="25"/>
      <c r="W18" s="26">
        <f>564244.42</f>
        <v>564244.42000000004</v>
      </c>
      <c r="X18" s="26"/>
    </row>
    <row r="19" spans="1:24" s="1" customFormat="1" ht="24" customHeight="1">
      <c r="A19" s="23" t="s">
        <v>48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 t="s">
        <v>34</v>
      </c>
      <c r="M19" s="24"/>
      <c r="N19" s="24" t="s">
        <v>49</v>
      </c>
      <c r="O19" s="24"/>
      <c r="P19" s="25">
        <f>330000</f>
        <v>330000</v>
      </c>
      <c r="Q19" s="25"/>
      <c r="R19" s="25"/>
      <c r="S19" s="25">
        <f>-32827.31</f>
        <v>-32827.31</v>
      </c>
      <c r="T19" s="25"/>
      <c r="U19" s="25"/>
      <c r="V19" s="25"/>
      <c r="W19" s="26">
        <f>362827.31</f>
        <v>362827.31</v>
      </c>
      <c r="X19" s="26"/>
    </row>
    <row r="20" spans="1:24" s="1" customFormat="1" ht="54.95" customHeight="1">
      <c r="A20" s="23" t="s">
        <v>50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4" t="s">
        <v>34</v>
      </c>
      <c r="M20" s="24"/>
      <c r="N20" s="24" t="s">
        <v>51</v>
      </c>
      <c r="O20" s="24"/>
      <c r="P20" s="25">
        <f>30000</f>
        <v>30000</v>
      </c>
      <c r="Q20" s="25"/>
      <c r="R20" s="25"/>
      <c r="S20" s="25">
        <f>6329.07</f>
        <v>6329.07</v>
      </c>
      <c r="T20" s="25"/>
      <c r="U20" s="25"/>
      <c r="V20" s="25"/>
      <c r="W20" s="26">
        <f>23670.93</f>
        <v>23670.93</v>
      </c>
      <c r="X20" s="26"/>
    </row>
    <row r="21" spans="1:24" s="1" customFormat="1" ht="14.1" customHeight="1">
      <c r="A21" s="23" t="s">
        <v>52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4" t="s">
        <v>34</v>
      </c>
      <c r="M21" s="24"/>
      <c r="N21" s="24" t="s">
        <v>53</v>
      </c>
      <c r="O21" s="24"/>
      <c r="P21" s="25">
        <f>950000</f>
        <v>950000</v>
      </c>
      <c r="Q21" s="25"/>
      <c r="R21" s="25"/>
      <c r="S21" s="25">
        <f>6115.96</f>
        <v>6115.96</v>
      </c>
      <c r="T21" s="25"/>
      <c r="U21" s="25"/>
      <c r="V21" s="25"/>
      <c r="W21" s="26">
        <f>943884.04</f>
        <v>943884.04</v>
      </c>
      <c r="X21" s="26"/>
    </row>
    <row r="22" spans="1:24" s="1" customFormat="1" ht="33.950000000000003" customHeight="1">
      <c r="A22" s="23" t="s">
        <v>54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4" t="s">
        <v>34</v>
      </c>
      <c r="M22" s="24"/>
      <c r="N22" s="24" t="s">
        <v>55</v>
      </c>
      <c r="O22" s="24"/>
      <c r="P22" s="25">
        <f>10200000</f>
        <v>10200000</v>
      </c>
      <c r="Q22" s="25"/>
      <c r="R22" s="25"/>
      <c r="S22" s="25">
        <f>225176.06</f>
        <v>225176.06</v>
      </c>
      <c r="T22" s="25"/>
      <c r="U22" s="25"/>
      <c r="V22" s="25"/>
      <c r="W22" s="26">
        <f>9974823.94</f>
        <v>9974823.9399999995</v>
      </c>
      <c r="X22" s="26"/>
    </row>
    <row r="23" spans="1:24" s="1" customFormat="1" ht="14.1" customHeight="1">
      <c r="A23" s="23" t="s">
        <v>56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4" t="s">
        <v>34</v>
      </c>
      <c r="M23" s="24"/>
      <c r="N23" s="24" t="s">
        <v>57</v>
      </c>
      <c r="O23" s="24"/>
      <c r="P23" s="25">
        <f>33500000</f>
        <v>33500000</v>
      </c>
      <c r="Q23" s="25"/>
      <c r="R23" s="25"/>
      <c r="S23" s="25">
        <f>7160730.68</f>
        <v>7160730.6799999997</v>
      </c>
      <c r="T23" s="25"/>
      <c r="U23" s="25"/>
      <c r="V23" s="25"/>
      <c r="W23" s="26">
        <f>26339269.32</f>
        <v>26339269.32</v>
      </c>
      <c r="X23" s="26"/>
    </row>
    <row r="24" spans="1:24" s="1" customFormat="1" ht="14.1" customHeight="1">
      <c r="A24" s="23" t="s">
        <v>58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4" t="s">
        <v>34</v>
      </c>
      <c r="M24" s="24"/>
      <c r="N24" s="24" t="s">
        <v>59</v>
      </c>
      <c r="O24" s="24"/>
      <c r="P24" s="25">
        <f>9000000</f>
        <v>9000000</v>
      </c>
      <c r="Q24" s="25"/>
      <c r="R24" s="25"/>
      <c r="S24" s="25">
        <f>1185381.2</f>
        <v>1185381.2</v>
      </c>
      <c r="T24" s="25"/>
      <c r="U24" s="25"/>
      <c r="V24" s="25"/>
      <c r="W24" s="26">
        <f>7814618.8</f>
        <v>7814618.7999999998</v>
      </c>
      <c r="X24" s="26"/>
    </row>
    <row r="25" spans="1:24" s="1" customFormat="1" ht="33.950000000000003" customHeight="1">
      <c r="A25" s="23" t="s">
        <v>60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4" t="s">
        <v>34</v>
      </c>
      <c r="M25" s="24"/>
      <c r="N25" s="24" t="s">
        <v>61</v>
      </c>
      <c r="O25" s="24"/>
      <c r="P25" s="25">
        <f>70000</f>
        <v>70000</v>
      </c>
      <c r="Q25" s="25"/>
      <c r="R25" s="25"/>
      <c r="S25" s="25">
        <f>9437.52</f>
        <v>9437.52</v>
      </c>
      <c r="T25" s="25"/>
      <c r="U25" s="25"/>
      <c r="V25" s="25"/>
      <c r="W25" s="26">
        <f>60562.48</f>
        <v>60562.48</v>
      </c>
      <c r="X25" s="26"/>
    </row>
    <row r="26" spans="1:24" s="1" customFormat="1" ht="54.95" customHeight="1">
      <c r="A26" s="23" t="s">
        <v>62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4" t="s">
        <v>34</v>
      </c>
      <c r="M26" s="24"/>
      <c r="N26" s="24" t="s">
        <v>63</v>
      </c>
      <c r="O26" s="24"/>
      <c r="P26" s="25">
        <f>30258000</f>
        <v>30258000</v>
      </c>
      <c r="Q26" s="25"/>
      <c r="R26" s="25"/>
      <c r="S26" s="25">
        <f>2169734.33</f>
        <v>2169734.33</v>
      </c>
      <c r="T26" s="25"/>
      <c r="U26" s="25"/>
      <c r="V26" s="25"/>
      <c r="W26" s="26">
        <f>28088265.67</f>
        <v>28088265.670000002</v>
      </c>
      <c r="X26" s="26"/>
    </row>
    <row r="27" spans="1:24" s="1" customFormat="1" ht="33.950000000000003" customHeight="1">
      <c r="A27" s="23" t="s">
        <v>64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4" t="s">
        <v>34</v>
      </c>
      <c r="M27" s="24"/>
      <c r="N27" s="24" t="s">
        <v>65</v>
      </c>
      <c r="O27" s="24"/>
      <c r="P27" s="25">
        <f>2500000</f>
        <v>2500000</v>
      </c>
      <c r="Q27" s="25"/>
      <c r="R27" s="25"/>
      <c r="S27" s="25">
        <f>1539273.5</f>
        <v>1539273.5</v>
      </c>
      <c r="T27" s="25"/>
      <c r="U27" s="25"/>
      <c r="V27" s="25"/>
      <c r="W27" s="26">
        <f>960726.5</f>
        <v>960726.5</v>
      </c>
      <c r="X27" s="26"/>
    </row>
    <row r="28" spans="1:24" s="1" customFormat="1" ht="33.950000000000003" customHeight="1">
      <c r="A28" s="23" t="s">
        <v>66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4" t="s">
        <v>34</v>
      </c>
      <c r="M28" s="24"/>
      <c r="N28" s="24" t="s">
        <v>67</v>
      </c>
      <c r="O28" s="24"/>
      <c r="P28" s="25">
        <f>10290000</f>
        <v>10290000</v>
      </c>
      <c r="Q28" s="25"/>
      <c r="R28" s="25"/>
      <c r="S28" s="25">
        <f>864362.43</f>
        <v>864362.43</v>
      </c>
      <c r="T28" s="25"/>
      <c r="U28" s="25"/>
      <c r="V28" s="25"/>
      <c r="W28" s="26">
        <f>9425637.57</f>
        <v>9425637.5700000003</v>
      </c>
      <c r="X28" s="26"/>
    </row>
    <row r="29" spans="1:24" s="1" customFormat="1" ht="14.1" customHeight="1">
      <c r="A29" s="23" t="s">
        <v>68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4" t="s">
        <v>34</v>
      </c>
      <c r="M29" s="24"/>
      <c r="N29" s="24" t="s">
        <v>69</v>
      </c>
      <c r="O29" s="24"/>
      <c r="P29" s="25">
        <f>210000</f>
        <v>210000</v>
      </c>
      <c r="Q29" s="25"/>
      <c r="R29" s="25"/>
      <c r="S29" s="25">
        <f>9868</f>
        <v>9868</v>
      </c>
      <c r="T29" s="25"/>
      <c r="U29" s="25"/>
      <c r="V29" s="25"/>
      <c r="W29" s="26">
        <f>200132</f>
        <v>200132</v>
      </c>
      <c r="X29" s="26"/>
    </row>
    <row r="30" spans="1:24" s="1" customFormat="1" ht="24" customHeight="1">
      <c r="A30" s="23" t="s">
        <v>70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4" t="s">
        <v>34</v>
      </c>
      <c r="M30" s="24"/>
      <c r="N30" s="24" t="s">
        <v>71</v>
      </c>
      <c r="O30" s="24"/>
      <c r="P30" s="25">
        <f>50000</f>
        <v>50000</v>
      </c>
      <c r="Q30" s="25"/>
      <c r="R30" s="25"/>
      <c r="S30" s="27" t="s">
        <v>72</v>
      </c>
      <c r="T30" s="27"/>
      <c r="U30" s="27"/>
      <c r="V30" s="27"/>
      <c r="W30" s="26">
        <f>50000</f>
        <v>50000</v>
      </c>
      <c r="X30" s="26"/>
    </row>
    <row r="31" spans="1:24" s="1" customFormat="1" ht="14.1" customHeight="1">
      <c r="A31" s="23" t="s">
        <v>73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4" t="s">
        <v>34</v>
      </c>
      <c r="M31" s="24"/>
      <c r="N31" s="24" t="s">
        <v>74</v>
      </c>
      <c r="O31" s="24"/>
      <c r="P31" s="27" t="s">
        <v>72</v>
      </c>
      <c r="Q31" s="27"/>
      <c r="R31" s="27"/>
      <c r="S31" s="25">
        <f>0</f>
        <v>0</v>
      </c>
      <c r="T31" s="25"/>
      <c r="U31" s="25"/>
      <c r="V31" s="25"/>
      <c r="W31" s="26">
        <f>0</f>
        <v>0</v>
      </c>
      <c r="X31" s="26"/>
    </row>
    <row r="32" spans="1:24" s="1" customFormat="1" ht="14.1" customHeight="1">
      <c r="A32" s="23" t="s">
        <v>75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4" t="s">
        <v>34</v>
      </c>
      <c r="M32" s="24"/>
      <c r="N32" s="24" t="s">
        <v>76</v>
      </c>
      <c r="O32" s="24"/>
      <c r="P32" s="27" t="s">
        <v>72</v>
      </c>
      <c r="Q32" s="27"/>
      <c r="R32" s="27"/>
      <c r="S32" s="25">
        <f>41038.2</f>
        <v>41038.199999999997</v>
      </c>
      <c r="T32" s="25"/>
      <c r="U32" s="25"/>
      <c r="V32" s="25"/>
      <c r="W32" s="26">
        <f>0</f>
        <v>0</v>
      </c>
      <c r="X32" s="26"/>
    </row>
    <row r="33" spans="1:24" s="1" customFormat="1" ht="24" customHeight="1">
      <c r="A33" s="23" t="s">
        <v>77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4" t="s">
        <v>34</v>
      </c>
      <c r="M33" s="24"/>
      <c r="N33" s="24" t="s">
        <v>78</v>
      </c>
      <c r="O33" s="24"/>
      <c r="P33" s="25">
        <f>12400</f>
        <v>12400</v>
      </c>
      <c r="Q33" s="25"/>
      <c r="R33" s="25"/>
      <c r="S33" s="25">
        <f>12400</f>
        <v>12400</v>
      </c>
      <c r="T33" s="25"/>
      <c r="U33" s="25"/>
      <c r="V33" s="25"/>
      <c r="W33" s="26">
        <f>0</f>
        <v>0</v>
      </c>
      <c r="X33" s="26"/>
    </row>
    <row r="34" spans="1:24" s="1" customFormat="1" ht="33.950000000000003" customHeight="1">
      <c r="A34" s="23" t="s">
        <v>79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4" t="s">
        <v>34</v>
      </c>
      <c r="M34" s="24"/>
      <c r="N34" s="24" t="s">
        <v>80</v>
      </c>
      <c r="O34" s="24"/>
      <c r="P34" s="25">
        <f>-308628.71</f>
        <v>-308628.71000000002</v>
      </c>
      <c r="Q34" s="25"/>
      <c r="R34" s="25"/>
      <c r="S34" s="25">
        <f>-308628.71</f>
        <v>-308628.71000000002</v>
      </c>
      <c r="T34" s="25"/>
      <c r="U34" s="25"/>
      <c r="V34" s="25"/>
      <c r="W34" s="26">
        <f>0</f>
        <v>0</v>
      </c>
      <c r="X34" s="26"/>
    </row>
    <row r="35" spans="1:24" s="1" customFormat="1" ht="14.1" customHeight="1">
      <c r="A35" s="28" t="s">
        <v>10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</row>
    <row r="36" spans="1:24" s="1" customFormat="1" ht="14.1" customHeight="1">
      <c r="A36" s="12" t="s">
        <v>81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 s="1" customFormat="1" ht="35.1" customHeight="1">
      <c r="A37" s="13" t="s">
        <v>21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 t="s">
        <v>22</v>
      </c>
      <c r="M37" s="13"/>
      <c r="N37" s="13" t="s">
        <v>82</v>
      </c>
      <c r="O37" s="13"/>
      <c r="P37" s="14" t="s">
        <v>24</v>
      </c>
      <c r="Q37" s="14"/>
      <c r="R37" s="14"/>
      <c r="S37" s="14" t="s">
        <v>25</v>
      </c>
      <c r="T37" s="14"/>
      <c r="U37" s="14"/>
      <c r="V37" s="14"/>
      <c r="W37" s="15" t="s">
        <v>26</v>
      </c>
      <c r="X37" s="15"/>
    </row>
    <row r="38" spans="1:24" s="1" customFormat="1" ht="14.1" customHeight="1">
      <c r="A38" s="16" t="s">
        <v>27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 t="s">
        <v>28</v>
      </c>
      <c r="M38" s="16"/>
      <c r="N38" s="16" t="s">
        <v>29</v>
      </c>
      <c r="O38" s="16"/>
      <c r="P38" s="17" t="s">
        <v>30</v>
      </c>
      <c r="Q38" s="17"/>
      <c r="R38" s="17"/>
      <c r="S38" s="17" t="s">
        <v>31</v>
      </c>
      <c r="T38" s="17"/>
      <c r="U38" s="17"/>
      <c r="V38" s="17"/>
      <c r="W38" s="18" t="s">
        <v>32</v>
      </c>
      <c r="X38" s="18"/>
    </row>
    <row r="39" spans="1:24" s="1" customFormat="1" ht="14.1" customHeight="1">
      <c r="A39" s="19" t="s">
        <v>83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20" t="s">
        <v>84</v>
      </c>
      <c r="M39" s="20"/>
      <c r="N39" s="20" t="s">
        <v>35</v>
      </c>
      <c r="O39" s="20"/>
      <c r="P39" s="21">
        <f>190448917.43</f>
        <v>190448917.43000001</v>
      </c>
      <c r="Q39" s="21"/>
      <c r="R39" s="21"/>
      <c r="S39" s="21">
        <f>11388643.43</f>
        <v>11388643.43</v>
      </c>
      <c r="T39" s="21"/>
      <c r="U39" s="21"/>
      <c r="V39" s="21"/>
      <c r="W39" s="22">
        <f>179060274</f>
        <v>179060274</v>
      </c>
      <c r="X39" s="22"/>
    </row>
    <row r="40" spans="1:24" s="1" customFormat="1" ht="14.1" customHeight="1">
      <c r="A40" s="29" t="s">
        <v>85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30" t="s">
        <v>84</v>
      </c>
      <c r="M40" s="30"/>
      <c r="N40" s="30" t="s">
        <v>86</v>
      </c>
      <c r="O40" s="30"/>
      <c r="P40" s="31">
        <f>768059.58</f>
        <v>768059.58</v>
      </c>
      <c r="Q40" s="31"/>
      <c r="R40" s="31"/>
      <c r="S40" s="31">
        <f>52242.47</f>
        <v>52242.47</v>
      </c>
      <c r="T40" s="31"/>
      <c r="U40" s="31"/>
      <c r="V40" s="31"/>
      <c r="W40" s="32">
        <f>715817.11</f>
        <v>715817.11</v>
      </c>
      <c r="X40" s="32"/>
    </row>
    <row r="41" spans="1:24" s="1" customFormat="1" ht="14.1" customHeight="1">
      <c r="A41" s="29" t="s">
        <v>87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30" t="s">
        <v>84</v>
      </c>
      <c r="M41" s="30"/>
      <c r="N41" s="30" t="s">
        <v>88</v>
      </c>
      <c r="O41" s="30"/>
      <c r="P41" s="31">
        <f>231953.99</f>
        <v>231953.99</v>
      </c>
      <c r="Q41" s="31"/>
      <c r="R41" s="31"/>
      <c r="S41" s="31">
        <f>20056.72</f>
        <v>20056.72</v>
      </c>
      <c r="T41" s="31"/>
      <c r="U41" s="31"/>
      <c r="V41" s="31"/>
      <c r="W41" s="32">
        <f>211897.27</f>
        <v>211897.27</v>
      </c>
      <c r="X41" s="32"/>
    </row>
    <row r="42" spans="1:24" s="1" customFormat="1" ht="14.1" customHeight="1">
      <c r="A42" s="29" t="s">
        <v>89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30" t="s">
        <v>84</v>
      </c>
      <c r="M42" s="30"/>
      <c r="N42" s="30" t="s">
        <v>90</v>
      </c>
      <c r="O42" s="30"/>
      <c r="P42" s="31">
        <f>540000</f>
        <v>540000</v>
      </c>
      <c r="Q42" s="31"/>
      <c r="R42" s="31"/>
      <c r="S42" s="33" t="s">
        <v>72</v>
      </c>
      <c r="T42" s="33"/>
      <c r="U42" s="33"/>
      <c r="V42" s="33"/>
      <c r="W42" s="32">
        <f>540000</f>
        <v>540000</v>
      </c>
      <c r="X42" s="32"/>
    </row>
    <row r="43" spans="1:24" s="1" customFormat="1" ht="14.1" customHeight="1">
      <c r="A43" s="29" t="s">
        <v>91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30" t="s">
        <v>84</v>
      </c>
      <c r="M43" s="30"/>
      <c r="N43" s="30" t="s">
        <v>92</v>
      </c>
      <c r="O43" s="30"/>
      <c r="P43" s="31">
        <f>6000</f>
        <v>6000</v>
      </c>
      <c r="Q43" s="31"/>
      <c r="R43" s="31"/>
      <c r="S43" s="33" t="s">
        <v>72</v>
      </c>
      <c r="T43" s="33"/>
      <c r="U43" s="33"/>
      <c r="V43" s="33"/>
      <c r="W43" s="32">
        <f>6000</f>
        <v>6000</v>
      </c>
      <c r="X43" s="32"/>
    </row>
    <row r="44" spans="1:24" s="1" customFormat="1" ht="14.1" customHeight="1">
      <c r="A44" s="29" t="s">
        <v>93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30" t="s">
        <v>84</v>
      </c>
      <c r="M44" s="30"/>
      <c r="N44" s="30" t="s">
        <v>94</v>
      </c>
      <c r="O44" s="30"/>
      <c r="P44" s="31">
        <f>23200</f>
        <v>23200</v>
      </c>
      <c r="Q44" s="31"/>
      <c r="R44" s="31"/>
      <c r="S44" s="33" t="s">
        <v>72</v>
      </c>
      <c r="T44" s="33"/>
      <c r="U44" s="33"/>
      <c r="V44" s="33"/>
      <c r="W44" s="32">
        <f>23200</f>
        <v>23200</v>
      </c>
      <c r="X44" s="32"/>
    </row>
    <row r="45" spans="1:24" s="1" customFormat="1" ht="14.1" customHeight="1">
      <c r="A45" s="29" t="s">
        <v>89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30" t="s">
        <v>84</v>
      </c>
      <c r="M45" s="30"/>
      <c r="N45" s="30" t="s">
        <v>95</v>
      </c>
      <c r="O45" s="30"/>
      <c r="P45" s="31">
        <f>16000</f>
        <v>16000</v>
      </c>
      <c r="Q45" s="31"/>
      <c r="R45" s="31"/>
      <c r="S45" s="33" t="s">
        <v>72</v>
      </c>
      <c r="T45" s="33"/>
      <c r="U45" s="33"/>
      <c r="V45" s="33"/>
      <c r="W45" s="32">
        <f>16000</f>
        <v>16000</v>
      </c>
      <c r="X45" s="32"/>
    </row>
    <row r="46" spans="1:24" s="1" customFormat="1" ht="14.1" customHeight="1">
      <c r="A46" s="29" t="s">
        <v>96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30" t="s">
        <v>84</v>
      </c>
      <c r="M46" s="30"/>
      <c r="N46" s="30" t="s">
        <v>97</v>
      </c>
      <c r="O46" s="30"/>
      <c r="P46" s="31">
        <f>79650</f>
        <v>79650</v>
      </c>
      <c r="Q46" s="31"/>
      <c r="R46" s="31"/>
      <c r="S46" s="33" t="s">
        <v>72</v>
      </c>
      <c r="T46" s="33"/>
      <c r="U46" s="33"/>
      <c r="V46" s="33"/>
      <c r="W46" s="32">
        <f>79650</f>
        <v>79650</v>
      </c>
      <c r="X46" s="32"/>
    </row>
    <row r="47" spans="1:24" s="1" customFormat="1" ht="14.1" customHeight="1">
      <c r="A47" s="29" t="s">
        <v>98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30" t="s">
        <v>84</v>
      </c>
      <c r="M47" s="30"/>
      <c r="N47" s="30" t="s">
        <v>99</v>
      </c>
      <c r="O47" s="30"/>
      <c r="P47" s="31">
        <f>300</f>
        <v>300</v>
      </c>
      <c r="Q47" s="31"/>
      <c r="R47" s="31"/>
      <c r="S47" s="33" t="s">
        <v>72</v>
      </c>
      <c r="T47" s="33"/>
      <c r="U47" s="33"/>
      <c r="V47" s="33"/>
      <c r="W47" s="32">
        <f>300</f>
        <v>300</v>
      </c>
      <c r="X47" s="32"/>
    </row>
    <row r="48" spans="1:24" s="1" customFormat="1" ht="14.1" customHeight="1">
      <c r="A48" s="29" t="s">
        <v>98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30" t="s">
        <v>84</v>
      </c>
      <c r="M48" s="30"/>
      <c r="N48" s="30" t="s">
        <v>100</v>
      </c>
      <c r="O48" s="30"/>
      <c r="P48" s="31">
        <f>2000</f>
        <v>2000</v>
      </c>
      <c r="Q48" s="31"/>
      <c r="R48" s="31"/>
      <c r="S48" s="31">
        <f>0.05</f>
        <v>0.05</v>
      </c>
      <c r="T48" s="31"/>
      <c r="U48" s="31"/>
      <c r="V48" s="31"/>
      <c r="W48" s="32">
        <f>1999.95</f>
        <v>1999.95</v>
      </c>
      <c r="X48" s="32"/>
    </row>
    <row r="49" spans="1:24" s="1" customFormat="1" ht="14.1" customHeight="1">
      <c r="A49" s="29" t="s">
        <v>85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30" t="s">
        <v>84</v>
      </c>
      <c r="M49" s="30"/>
      <c r="N49" s="30" t="s">
        <v>101</v>
      </c>
      <c r="O49" s="30"/>
      <c r="P49" s="31">
        <f>799605</f>
        <v>799605</v>
      </c>
      <c r="Q49" s="31"/>
      <c r="R49" s="31"/>
      <c r="S49" s="31">
        <f>81056.16</f>
        <v>81056.160000000003</v>
      </c>
      <c r="T49" s="31"/>
      <c r="U49" s="31"/>
      <c r="V49" s="31"/>
      <c r="W49" s="32">
        <f>718548.84</f>
        <v>718548.84</v>
      </c>
      <c r="X49" s="32"/>
    </row>
    <row r="50" spans="1:24" s="1" customFormat="1" ht="14.1" customHeight="1">
      <c r="A50" s="29" t="s">
        <v>87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30" t="s">
        <v>84</v>
      </c>
      <c r="M50" s="30"/>
      <c r="N50" s="30" t="s">
        <v>102</v>
      </c>
      <c r="O50" s="30"/>
      <c r="P50" s="31">
        <f>241481</f>
        <v>241481</v>
      </c>
      <c r="Q50" s="31"/>
      <c r="R50" s="31"/>
      <c r="S50" s="31">
        <f>18438.96</f>
        <v>18438.96</v>
      </c>
      <c r="T50" s="31"/>
      <c r="U50" s="31"/>
      <c r="V50" s="31"/>
      <c r="W50" s="32">
        <f>223042.04</f>
        <v>223042.04</v>
      </c>
      <c r="X50" s="32"/>
    </row>
    <row r="51" spans="1:24" s="1" customFormat="1" ht="14.1" customHeight="1">
      <c r="A51" s="29" t="s">
        <v>85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30" t="s">
        <v>84</v>
      </c>
      <c r="M51" s="30"/>
      <c r="N51" s="30" t="s">
        <v>103</v>
      </c>
      <c r="O51" s="30"/>
      <c r="P51" s="31">
        <f>11492239.01</f>
        <v>11492239.01</v>
      </c>
      <c r="Q51" s="31"/>
      <c r="R51" s="31"/>
      <c r="S51" s="31">
        <f>1133443.62</f>
        <v>1133443.6200000001</v>
      </c>
      <c r="T51" s="31"/>
      <c r="U51" s="31"/>
      <c r="V51" s="31"/>
      <c r="W51" s="32">
        <f>10358795.39</f>
        <v>10358795.390000001</v>
      </c>
      <c r="X51" s="32"/>
    </row>
    <row r="52" spans="1:24" s="1" customFormat="1" ht="14.1" customHeight="1">
      <c r="A52" s="29" t="s">
        <v>87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30" t="s">
        <v>84</v>
      </c>
      <c r="M52" s="30"/>
      <c r="N52" s="30" t="s">
        <v>104</v>
      </c>
      <c r="O52" s="30"/>
      <c r="P52" s="31">
        <f>3470656.18</f>
        <v>3470656.18</v>
      </c>
      <c r="Q52" s="31"/>
      <c r="R52" s="31"/>
      <c r="S52" s="31">
        <f>325795.02</f>
        <v>325795.02</v>
      </c>
      <c r="T52" s="31"/>
      <c r="U52" s="31"/>
      <c r="V52" s="31"/>
      <c r="W52" s="32">
        <f>3144861.16</f>
        <v>3144861.16</v>
      </c>
      <c r="X52" s="32"/>
    </row>
    <row r="53" spans="1:24" s="1" customFormat="1" ht="14.1" customHeight="1">
      <c r="A53" s="29" t="s">
        <v>105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30" t="s">
        <v>84</v>
      </c>
      <c r="M53" s="30"/>
      <c r="N53" s="30" t="s">
        <v>106</v>
      </c>
      <c r="O53" s="30"/>
      <c r="P53" s="31">
        <f>2000</f>
        <v>2000</v>
      </c>
      <c r="Q53" s="31"/>
      <c r="R53" s="31"/>
      <c r="S53" s="33" t="s">
        <v>72</v>
      </c>
      <c r="T53" s="33"/>
      <c r="U53" s="33"/>
      <c r="V53" s="33"/>
      <c r="W53" s="32">
        <f>2000</f>
        <v>2000</v>
      </c>
      <c r="X53" s="32"/>
    </row>
    <row r="54" spans="1:24" s="1" customFormat="1" ht="14.1" customHeight="1">
      <c r="A54" s="29" t="s">
        <v>89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30" t="s">
        <v>84</v>
      </c>
      <c r="M54" s="30"/>
      <c r="N54" s="30" t="s">
        <v>107</v>
      </c>
      <c r="O54" s="30"/>
      <c r="P54" s="31">
        <f>16000</f>
        <v>16000</v>
      </c>
      <c r="Q54" s="31"/>
      <c r="R54" s="31"/>
      <c r="S54" s="33" t="s">
        <v>72</v>
      </c>
      <c r="T54" s="33"/>
      <c r="U54" s="33"/>
      <c r="V54" s="33"/>
      <c r="W54" s="32">
        <f>16000</f>
        <v>16000</v>
      </c>
      <c r="X54" s="32"/>
    </row>
    <row r="55" spans="1:24" s="1" customFormat="1" ht="14.1" customHeight="1">
      <c r="A55" s="29" t="s">
        <v>91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30" t="s">
        <v>84</v>
      </c>
      <c r="M55" s="30"/>
      <c r="N55" s="30" t="s">
        <v>108</v>
      </c>
      <c r="O55" s="30"/>
      <c r="P55" s="31">
        <f>5599.44</f>
        <v>5599.44</v>
      </c>
      <c r="Q55" s="31"/>
      <c r="R55" s="31"/>
      <c r="S55" s="31">
        <f>5599.44</f>
        <v>5599.44</v>
      </c>
      <c r="T55" s="31"/>
      <c r="U55" s="31"/>
      <c r="V55" s="31"/>
      <c r="W55" s="32">
        <f>0</f>
        <v>0</v>
      </c>
      <c r="X55" s="32"/>
    </row>
    <row r="56" spans="1:24" s="1" customFormat="1" ht="14.1" customHeight="1">
      <c r="A56" s="29" t="s">
        <v>109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30" t="s">
        <v>84</v>
      </c>
      <c r="M56" s="30"/>
      <c r="N56" s="30" t="s">
        <v>110</v>
      </c>
      <c r="O56" s="30"/>
      <c r="P56" s="31">
        <f>141.54</f>
        <v>141.54</v>
      </c>
      <c r="Q56" s="31"/>
      <c r="R56" s="31"/>
      <c r="S56" s="31">
        <f>141.54</f>
        <v>141.54</v>
      </c>
      <c r="T56" s="31"/>
      <c r="U56" s="31"/>
      <c r="V56" s="31"/>
      <c r="W56" s="32">
        <f>0</f>
        <v>0</v>
      </c>
      <c r="X56" s="32"/>
    </row>
    <row r="57" spans="1:24" s="1" customFormat="1" ht="14.1" customHeight="1">
      <c r="A57" s="29" t="s">
        <v>89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30" t="s">
        <v>84</v>
      </c>
      <c r="M57" s="30"/>
      <c r="N57" s="30" t="s">
        <v>111</v>
      </c>
      <c r="O57" s="30"/>
      <c r="P57" s="31">
        <f>300</f>
        <v>300</v>
      </c>
      <c r="Q57" s="31"/>
      <c r="R57" s="31"/>
      <c r="S57" s="31">
        <f>300</f>
        <v>300</v>
      </c>
      <c r="T57" s="31"/>
      <c r="U57" s="31"/>
      <c r="V57" s="31"/>
      <c r="W57" s="32">
        <f>0</f>
        <v>0</v>
      </c>
      <c r="X57" s="32"/>
    </row>
    <row r="58" spans="1:24" s="1" customFormat="1" ht="14.1" customHeight="1">
      <c r="A58" s="29" t="s">
        <v>98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30" t="s">
        <v>84</v>
      </c>
      <c r="M58" s="30"/>
      <c r="N58" s="30" t="s">
        <v>112</v>
      </c>
      <c r="O58" s="30"/>
      <c r="P58" s="31">
        <f>105499.02</f>
        <v>105499.02</v>
      </c>
      <c r="Q58" s="31"/>
      <c r="R58" s="31"/>
      <c r="S58" s="33" t="s">
        <v>72</v>
      </c>
      <c r="T58" s="33"/>
      <c r="U58" s="33"/>
      <c r="V58" s="33"/>
      <c r="W58" s="32">
        <f>105499.02</f>
        <v>105499.02</v>
      </c>
      <c r="X58" s="32"/>
    </row>
    <row r="59" spans="1:24" s="1" customFormat="1" ht="14.1" customHeight="1">
      <c r="A59" s="29" t="s">
        <v>98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30" t="s">
        <v>84</v>
      </c>
      <c r="M59" s="30"/>
      <c r="N59" s="30" t="s">
        <v>113</v>
      </c>
      <c r="O59" s="30"/>
      <c r="P59" s="31">
        <f>10000</f>
        <v>10000</v>
      </c>
      <c r="Q59" s="31"/>
      <c r="R59" s="31"/>
      <c r="S59" s="31">
        <f>1557.52</f>
        <v>1557.52</v>
      </c>
      <c r="T59" s="31"/>
      <c r="U59" s="31"/>
      <c r="V59" s="31"/>
      <c r="W59" s="32">
        <f>8442.48</f>
        <v>8442.48</v>
      </c>
      <c r="X59" s="32"/>
    </row>
    <row r="60" spans="1:24" s="1" customFormat="1" ht="14.1" customHeight="1">
      <c r="A60" s="29" t="s">
        <v>96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30" t="s">
        <v>84</v>
      </c>
      <c r="M60" s="30"/>
      <c r="N60" s="30" t="s">
        <v>114</v>
      </c>
      <c r="O60" s="30"/>
      <c r="P60" s="31">
        <f>12400</f>
        <v>12400</v>
      </c>
      <c r="Q60" s="31"/>
      <c r="R60" s="31"/>
      <c r="S60" s="33" t="s">
        <v>72</v>
      </c>
      <c r="T60" s="33"/>
      <c r="U60" s="33"/>
      <c r="V60" s="33"/>
      <c r="W60" s="32">
        <f>12400</f>
        <v>12400</v>
      </c>
      <c r="X60" s="32"/>
    </row>
    <row r="61" spans="1:24" s="1" customFormat="1" ht="14.1" customHeight="1">
      <c r="A61" s="29" t="s">
        <v>115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30" t="s">
        <v>84</v>
      </c>
      <c r="M61" s="30"/>
      <c r="N61" s="30" t="s">
        <v>116</v>
      </c>
      <c r="O61" s="30"/>
      <c r="P61" s="31">
        <f>360990</f>
        <v>360990</v>
      </c>
      <c r="Q61" s="31"/>
      <c r="R61" s="31"/>
      <c r="S61" s="33" t="s">
        <v>72</v>
      </c>
      <c r="T61" s="33"/>
      <c r="U61" s="33"/>
      <c r="V61" s="33"/>
      <c r="W61" s="32">
        <f>360990</f>
        <v>360990</v>
      </c>
      <c r="X61" s="32"/>
    </row>
    <row r="62" spans="1:24" s="1" customFormat="1" ht="14.1" customHeight="1">
      <c r="A62" s="29" t="s">
        <v>98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30" t="s">
        <v>84</v>
      </c>
      <c r="M62" s="30"/>
      <c r="N62" s="30" t="s">
        <v>117</v>
      </c>
      <c r="O62" s="30"/>
      <c r="P62" s="31">
        <f>300000</f>
        <v>300000</v>
      </c>
      <c r="Q62" s="31"/>
      <c r="R62" s="31"/>
      <c r="S62" s="33" t="s">
        <v>72</v>
      </c>
      <c r="T62" s="33"/>
      <c r="U62" s="33"/>
      <c r="V62" s="33"/>
      <c r="W62" s="32">
        <f>300000</f>
        <v>300000</v>
      </c>
      <c r="X62" s="32"/>
    </row>
    <row r="63" spans="1:24" s="1" customFormat="1" ht="14.1" customHeight="1">
      <c r="A63" s="29" t="s">
        <v>89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30" t="s">
        <v>84</v>
      </c>
      <c r="M63" s="30"/>
      <c r="N63" s="30" t="s">
        <v>118</v>
      </c>
      <c r="O63" s="30"/>
      <c r="P63" s="31">
        <f>0</f>
        <v>0</v>
      </c>
      <c r="Q63" s="31"/>
      <c r="R63" s="31"/>
      <c r="S63" s="33" t="s">
        <v>72</v>
      </c>
      <c r="T63" s="33"/>
      <c r="U63" s="33"/>
      <c r="V63" s="33"/>
      <c r="W63" s="32">
        <f>0</f>
        <v>0</v>
      </c>
      <c r="X63" s="32"/>
    </row>
    <row r="64" spans="1:24" s="1" customFormat="1" ht="14.1" customHeight="1">
      <c r="A64" s="29" t="s">
        <v>89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30" t="s">
        <v>84</v>
      </c>
      <c r="M64" s="30"/>
      <c r="N64" s="30" t="s">
        <v>119</v>
      </c>
      <c r="O64" s="30"/>
      <c r="P64" s="31">
        <f>1965000</f>
        <v>1965000</v>
      </c>
      <c r="Q64" s="31"/>
      <c r="R64" s="31"/>
      <c r="S64" s="33" t="s">
        <v>72</v>
      </c>
      <c r="T64" s="33"/>
      <c r="U64" s="33"/>
      <c r="V64" s="33"/>
      <c r="W64" s="32">
        <f>1965000</f>
        <v>1965000</v>
      </c>
      <c r="X64" s="32"/>
    </row>
    <row r="65" spans="1:24" s="1" customFormat="1" ht="14.1" customHeight="1">
      <c r="A65" s="29" t="s">
        <v>93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30" t="s">
        <v>84</v>
      </c>
      <c r="M65" s="30"/>
      <c r="N65" s="30" t="s">
        <v>120</v>
      </c>
      <c r="O65" s="30"/>
      <c r="P65" s="31">
        <f>0</f>
        <v>0</v>
      </c>
      <c r="Q65" s="31"/>
      <c r="R65" s="31"/>
      <c r="S65" s="33" t="s">
        <v>72</v>
      </c>
      <c r="T65" s="33"/>
      <c r="U65" s="33"/>
      <c r="V65" s="33"/>
      <c r="W65" s="32">
        <f>0</f>
        <v>0</v>
      </c>
      <c r="X65" s="32"/>
    </row>
    <row r="66" spans="1:24" s="1" customFormat="1" ht="14.1" customHeight="1">
      <c r="A66" s="29" t="s">
        <v>89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30" t="s">
        <v>84</v>
      </c>
      <c r="M66" s="30"/>
      <c r="N66" s="30" t="s">
        <v>121</v>
      </c>
      <c r="O66" s="30"/>
      <c r="P66" s="31">
        <f>0</f>
        <v>0</v>
      </c>
      <c r="Q66" s="31"/>
      <c r="R66" s="31"/>
      <c r="S66" s="33" t="s">
        <v>72</v>
      </c>
      <c r="T66" s="33"/>
      <c r="U66" s="33"/>
      <c r="V66" s="33"/>
      <c r="W66" s="32">
        <f>0</f>
        <v>0</v>
      </c>
      <c r="X66" s="32"/>
    </row>
    <row r="67" spans="1:24" s="1" customFormat="1" ht="14.1" customHeight="1">
      <c r="A67" s="29" t="s">
        <v>109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30" t="s">
        <v>84</v>
      </c>
      <c r="M67" s="30"/>
      <c r="N67" s="30" t="s">
        <v>122</v>
      </c>
      <c r="O67" s="30"/>
      <c r="P67" s="31">
        <f>161873</f>
        <v>161873</v>
      </c>
      <c r="Q67" s="31"/>
      <c r="R67" s="31"/>
      <c r="S67" s="31">
        <f>30040.39</f>
        <v>30040.39</v>
      </c>
      <c r="T67" s="31"/>
      <c r="U67" s="31"/>
      <c r="V67" s="31"/>
      <c r="W67" s="32">
        <f>131832.61</f>
        <v>131832.60999999999</v>
      </c>
      <c r="X67" s="32"/>
    </row>
    <row r="68" spans="1:24" s="1" customFormat="1" ht="14.1" customHeight="1">
      <c r="A68" s="29" t="s">
        <v>93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30" t="s">
        <v>84</v>
      </c>
      <c r="M68" s="30"/>
      <c r="N68" s="30" t="s">
        <v>123</v>
      </c>
      <c r="O68" s="30"/>
      <c r="P68" s="31">
        <f>3638218</f>
        <v>3638218</v>
      </c>
      <c r="Q68" s="31"/>
      <c r="R68" s="31"/>
      <c r="S68" s="33" t="s">
        <v>72</v>
      </c>
      <c r="T68" s="33"/>
      <c r="U68" s="33"/>
      <c r="V68" s="33"/>
      <c r="W68" s="32">
        <f>3638218</f>
        <v>3638218</v>
      </c>
      <c r="X68" s="32"/>
    </row>
    <row r="69" spans="1:24" s="1" customFormat="1" ht="14.1" customHeight="1">
      <c r="A69" s="29" t="s">
        <v>89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30" t="s">
        <v>84</v>
      </c>
      <c r="M69" s="30"/>
      <c r="N69" s="30" t="s">
        <v>124</v>
      </c>
      <c r="O69" s="30"/>
      <c r="P69" s="31">
        <f>18213.31</f>
        <v>18213.310000000001</v>
      </c>
      <c r="Q69" s="31"/>
      <c r="R69" s="31"/>
      <c r="S69" s="33" t="s">
        <v>72</v>
      </c>
      <c r="T69" s="33"/>
      <c r="U69" s="33"/>
      <c r="V69" s="33"/>
      <c r="W69" s="32">
        <f>18213.31</f>
        <v>18213.310000000001</v>
      </c>
      <c r="X69" s="32"/>
    </row>
    <row r="70" spans="1:24" s="1" customFormat="1" ht="14.1" customHeight="1">
      <c r="A70" s="29" t="s">
        <v>89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30" t="s">
        <v>84</v>
      </c>
      <c r="M70" s="30"/>
      <c r="N70" s="30" t="s">
        <v>125</v>
      </c>
      <c r="O70" s="30"/>
      <c r="P70" s="31">
        <f>6600</f>
        <v>6600</v>
      </c>
      <c r="Q70" s="31"/>
      <c r="R70" s="31"/>
      <c r="S70" s="33" t="s">
        <v>72</v>
      </c>
      <c r="T70" s="33"/>
      <c r="U70" s="33"/>
      <c r="V70" s="33"/>
      <c r="W70" s="32">
        <f>6600</f>
        <v>6600</v>
      </c>
      <c r="X70" s="32"/>
    </row>
    <row r="71" spans="1:24" s="1" customFormat="1" ht="14.1" customHeight="1">
      <c r="A71" s="29" t="s">
        <v>126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30" t="s">
        <v>84</v>
      </c>
      <c r="M71" s="30"/>
      <c r="N71" s="30" t="s">
        <v>127</v>
      </c>
      <c r="O71" s="30"/>
      <c r="P71" s="31">
        <f>600000</f>
        <v>600000</v>
      </c>
      <c r="Q71" s="31"/>
      <c r="R71" s="31"/>
      <c r="S71" s="33" t="s">
        <v>72</v>
      </c>
      <c r="T71" s="33"/>
      <c r="U71" s="33"/>
      <c r="V71" s="33"/>
      <c r="W71" s="32">
        <f>600000</f>
        <v>600000</v>
      </c>
      <c r="X71" s="32"/>
    </row>
    <row r="72" spans="1:24" s="1" customFormat="1" ht="14.1" customHeight="1">
      <c r="A72" s="29" t="s">
        <v>98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30" t="s">
        <v>84</v>
      </c>
      <c r="M72" s="30"/>
      <c r="N72" s="30" t="s">
        <v>128</v>
      </c>
      <c r="O72" s="30"/>
      <c r="P72" s="31">
        <f>102</f>
        <v>102</v>
      </c>
      <c r="Q72" s="31"/>
      <c r="R72" s="31"/>
      <c r="S72" s="33" t="s">
        <v>72</v>
      </c>
      <c r="T72" s="33"/>
      <c r="U72" s="33"/>
      <c r="V72" s="33"/>
      <c r="W72" s="32">
        <f>102</f>
        <v>102</v>
      </c>
      <c r="X72" s="32"/>
    </row>
    <row r="73" spans="1:24" s="1" customFormat="1" ht="14.1" customHeight="1">
      <c r="A73" s="29" t="s">
        <v>98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30" t="s">
        <v>84</v>
      </c>
      <c r="M73" s="30"/>
      <c r="N73" s="30" t="s">
        <v>129</v>
      </c>
      <c r="O73" s="30"/>
      <c r="P73" s="31">
        <f>26352</f>
        <v>26352</v>
      </c>
      <c r="Q73" s="31"/>
      <c r="R73" s="31"/>
      <c r="S73" s="31">
        <f>783</f>
        <v>783</v>
      </c>
      <c r="T73" s="31"/>
      <c r="U73" s="31"/>
      <c r="V73" s="31"/>
      <c r="W73" s="32">
        <f>25569</f>
        <v>25569</v>
      </c>
      <c r="X73" s="32"/>
    </row>
    <row r="74" spans="1:24" s="1" customFormat="1" ht="14.1" customHeight="1">
      <c r="A74" s="29" t="s">
        <v>98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30" t="s">
        <v>84</v>
      </c>
      <c r="M74" s="30"/>
      <c r="N74" s="30" t="s">
        <v>130</v>
      </c>
      <c r="O74" s="30"/>
      <c r="P74" s="31">
        <f>300000</f>
        <v>300000</v>
      </c>
      <c r="Q74" s="31"/>
      <c r="R74" s="31"/>
      <c r="S74" s="33" t="s">
        <v>72</v>
      </c>
      <c r="T74" s="33"/>
      <c r="U74" s="33"/>
      <c r="V74" s="33"/>
      <c r="W74" s="32">
        <f>300000</f>
        <v>300000</v>
      </c>
      <c r="X74" s="32"/>
    </row>
    <row r="75" spans="1:24" s="1" customFormat="1" ht="14.1" customHeight="1">
      <c r="A75" s="29" t="s">
        <v>85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30" t="s">
        <v>84</v>
      </c>
      <c r="M75" s="30"/>
      <c r="N75" s="30" t="s">
        <v>131</v>
      </c>
      <c r="O75" s="30"/>
      <c r="P75" s="31">
        <f>2958776</f>
        <v>2958776</v>
      </c>
      <c r="Q75" s="31"/>
      <c r="R75" s="31"/>
      <c r="S75" s="31">
        <f>250509.7</f>
        <v>250509.7</v>
      </c>
      <c r="T75" s="31"/>
      <c r="U75" s="31"/>
      <c r="V75" s="31"/>
      <c r="W75" s="32">
        <f>2708266.3</f>
        <v>2708266.3</v>
      </c>
      <c r="X75" s="32"/>
    </row>
    <row r="76" spans="1:24" s="1" customFormat="1" ht="14.1" customHeight="1">
      <c r="A76" s="29" t="s">
        <v>87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30" t="s">
        <v>84</v>
      </c>
      <c r="M76" s="30"/>
      <c r="N76" s="30" t="s">
        <v>132</v>
      </c>
      <c r="O76" s="30"/>
      <c r="P76" s="31">
        <f>893550</f>
        <v>893550</v>
      </c>
      <c r="Q76" s="31"/>
      <c r="R76" s="31"/>
      <c r="S76" s="31">
        <f>67270.47</f>
        <v>67270.47</v>
      </c>
      <c r="T76" s="31"/>
      <c r="U76" s="31"/>
      <c r="V76" s="31"/>
      <c r="W76" s="32">
        <f>826279.53</f>
        <v>826279.53</v>
      </c>
      <c r="X76" s="32"/>
    </row>
    <row r="77" spans="1:24" s="1" customFormat="1" ht="14.1" customHeight="1">
      <c r="A77" s="29" t="s">
        <v>105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30" t="s">
        <v>84</v>
      </c>
      <c r="M77" s="30"/>
      <c r="N77" s="30" t="s">
        <v>133</v>
      </c>
      <c r="O77" s="30"/>
      <c r="P77" s="31">
        <f>1400</f>
        <v>1400</v>
      </c>
      <c r="Q77" s="31"/>
      <c r="R77" s="31"/>
      <c r="S77" s="33" t="s">
        <v>72</v>
      </c>
      <c r="T77" s="33"/>
      <c r="U77" s="33"/>
      <c r="V77" s="33"/>
      <c r="W77" s="32">
        <f>1400</f>
        <v>1400</v>
      </c>
      <c r="X77" s="32"/>
    </row>
    <row r="78" spans="1:24" s="1" customFormat="1" ht="14.1" customHeight="1">
      <c r="A78" s="29" t="s">
        <v>134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30" t="s">
        <v>84</v>
      </c>
      <c r="M78" s="30"/>
      <c r="N78" s="30" t="s">
        <v>135</v>
      </c>
      <c r="O78" s="30"/>
      <c r="P78" s="31">
        <f>2000</f>
        <v>2000</v>
      </c>
      <c r="Q78" s="31"/>
      <c r="R78" s="31"/>
      <c r="S78" s="33" t="s">
        <v>72</v>
      </c>
      <c r="T78" s="33"/>
      <c r="U78" s="33"/>
      <c r="V78" s="33"/>
      <c r="W78" s="32">
        <f>2000</f>
        <v>2000</v>
      </c>
      <c r="X78" s="32"/>
    </row>
    <row r="79" spans="1:24" s="1" customFormat="1" ht="14.1" customHeight="1">
      <c r="A79" s="29" t="s">
        <v>89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30" t="s">
        <v>84</v>
      </c>
      <c r="M79" s="30"/>
      <c r="N79" s="30" t="s">
        <v>136</v>
      </c>
      <c r="O79" s="30"/>
      <c r="P79" s="31">
        <f>18000</f>
        <v>18000</v>
      </c>
      <c r="Q79" s="31"/>
      <c r="R79" s="31"/>
      <c r="S79" s="33" t="s">
        <v>72</v>
      </c>
      <c r="T79" s="33"/>
      <c r="U79" s="33"/>
      <c r="V79" s="33"/>
      <c r="W79" s="32">
        <f>18000</f>
        <v>18000</v>
      </c>
      <c r="X79" s="32"/>
    </row>
    <row r="80" spans="1:24" s="1" customFormat="1" ht="14.1" customHeight="1">
      <c r="A80" s="29" t="s">
        <v>93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30" t="s">
        <v>84</v>
      </c>
      <c r="M80" s="30"/>
      <c r="N80" s="30" t="s">
        <v>137</v>
      </c>
      <c r="O80" s="30"/>
      <c r="P80" s="31">
        <f>24400</f>
        <v>24400</v>
      </c>
      <c r="Q80" s="31"/>
      <c r="R80" s="31"/>
      <c r="S80" s="33" t="s">
        <v>72</v>
      </c>
      <c r="T80" s="33"/>
      <c r="U80" s="33"/>
      <c r="V80" s="33"/>
      <c r="W80" s="32">
        <f>24400</f>
        <v>24400</v>
      </c>
      <c r="X80" s="32"/>
    </row>
    <row r="81" spans="1:24" s="1" customFormat="1" ht="14.1" customHeight="1">
      <c r="A81" s="29" t="s">
        <v>89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30" t="s">
        <v>84</v>
      </c>
      <c r="M81" s="30"/>
      <c r="N81" s="30" t="s">
        <v>138</v>
      </c>
      <c r="O81" s="30"/>
      <c r="P81" s="31">
        <f>241720</f>
        <v>241720</v>
      </c>
      <c r="Q81" s="31"/>
      <c r="R81" s="31"/>
      <c r="S81" s="33" t="s">
        <v>72</v>
      </c>
      <c r="T81" s="33"/>
      <c r="U81" s="33"/>
      <c r="V81" s="33"/>
      <c r="W81" s="32">
        <f>241720</f>
        <v>241720</v>
      </c>
      <c r="X81" s="32"/>
    </row>
    <row r="82" spans="1:24" s="1" customFormat="1" ht="14.1" customHeight="1">
      <c r="A82" s="29" t="s">
        <v>126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30" t="s">
        <v>84</v>
      </c>
      <c r="M82" s="30"/>
      <c r="N82" s="30" t="s">
        <v>139</v>
      </c>
      <c r="O82" s="30"/>
      <c r="P82" s="31">
        <f>10000</f>
        <v>10000</v>
      </c>
      <c r="Q82" s="31"/>
      <c r="R82" s="31"/>
      <c r="S82" s="33" t="s">
        <v>72</v>
      </c>
      <c r="T82" s="33"/>
      <c r="U82" s="33"/>
      <c r="V82" s="33"/>
      <c r="W82" s="32">
        <f>10000</f>
        <v>10000</v>
      </c>
      <c r="X82" s="32"/>
    </row>
    <row r="83" spans="1:24" s="1" customFormat="1" ht="14.1" customHeight="1">
      <c r="A83" s="29" t="s">
        <v>96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30" t="s">
        <v>84</v>
      </c>
      <c r="M83" s="30"/>
      <c r="N83" s="30" t="s">
        <v>140</v>
      </c>
      <c r="O83" s="30"/>
      <c r="P83" s="31">
        <f>107154</f>
        <v>107154</v>
      </c>
      <c r="Q83" s="31"/>
      <c r="R83" s="31"/>
      <c r="S83" s="33" t="s">
        <v>72</v>
      </c>
      <c r="T83" s="33"/>
      <c r="U83" s="33"/>
      <c r="V83" s="33"/>
      <c r="W83" s="32">
        <f>107154</f>
        <v>107154</v>
      </c>
      <c r="X83" s="32"/>
    </row>
    <row r="84" spans="1:24" s="1" customFormat="1" ht="14.1" customHeight="1">
      <c r="A84" s="29" t="s">
        <v>98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30" t="s">
        <v>84</v>
      </c>
      <c r="M84" s="30"/>
      <c r="N84" s="30" t="s">
        <v>141</v>
      </c>
      <c r="O84" s="30"/>
      <c r="P84" s="31">
        <f>3000</f>
        <v>3000</v>
      </c>
      <c r="Q84" s="31"/>
      <c r="R84" s="31"/>
      <c r="S84" s="31">
        <f>373.22</f>
        <v>373.22</v>
      </c>
      <c r="T84" s="31"/>
      <c r="U84" s="31"/>
      <c r="V84" s="31"/>
      <c r="W84" s="32">
        <f>2626.78</f>
        <v>2626.78</v>
      </c>
      <c r="X84" s="32"/>
    </row>
    <row r="85" spans="1:24" s="1" customFormat="1" ht="14.1" customHeight="1">
      <c r="A85" s="29" t="s">
        <v>142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30" t="s">
        <v>84</v>
      </c>
      <c r="M85" s="30"/>
      <c r="N85" s="30" t="s">
        <v>143</v>
      </c>
      <c r="O85" s="30"/>
      <c r="P85" s="31">
        <f>56487613.6</f>
        <v>56487613.600000001</v>
      </c>
      <c r="Q85" s="31"/>
      <c r="R85" s="31"/>
      <c r="S85" s="31">
        <f>4550000</f>
        <v>4550000</v>
      </c>
      <c r="T85" s="31"/>
      <c r="U85" s="31"/>
      <c r="V85" s="31"/>
      <c r="W85" s="32">
        <f>51937613.6</f>
        <v>51937613.600000001</v>
      </c>
      <c r="X85" s="32"/>
    </row>
    <row r="86" spans="1:24" s="1" customFormat="1" ht="14.1" customHeight="1">
      <c r="A86" s="29" t="s">
        <v>98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30" t="s">
        <v>84</v>
      </c>
      <c r="M86" s="30"/>
      <c r="N86" s="30" t="s">
        <v>144</v>
      </c>
      <c r="O86" s="30"/>
      <c r="P86" s="31">
        <f>792000</f>
        <v>792000</v>
      </c>
      <c r="Q86" s="31"/>
      <c r="R86" s="31"/>
      <c r="S86" s="31">
        <f>63660</f>
        <v>63660</v>
      </c>
      <c r="T86" s="31"/>
      <c r="U86" s="31"/>
      <c r="V86" s="31"/>
      <c r="W86" s="32">
        <f>728340</f>
        <v>728340</v>
      </c>
      <c r="X86" s="32"/>
    </row>
    <row r="87" spans="1:24" s="1" customFormat="1" ht="14.1" customHeight="1">
      <c r="A87" s="29" t="s">
        <v>89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30" t="s">
        <v>84</v>
      </c>
      <c r="M87" s="30"/>
      <c r="N87" s="30" t="s">
        <v>145</v>
      </c>
      <c r="O87" s="30"/>
      <c r="P87" s="31">
        <f>900000</f>
        <v>900000</v>
      </c>
      <c r="Q87" s="31"/>
      <c r="R87" s="31"/>
      <c r="S87" s="33" t="s">
        <v>72</v>
      </c>
      <c r="T87" s="33"/>
      <c r="U87" s="33"/>
      <c r="V87" s="33"/>
      <c r="W87" s="32">
        <f>900000</f>
        <v>900000</v>
      </c>
      <c r="X87" s="32"/>
    </row>
    <row r="88" spans="1:24" s="1" customFormat="1" ht="14.1" customHeight="1">
      <c r="A88" s="29" t="s">
        <v>91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30" t="s">
        <v>84</v>
      </c>
      <c r="M88" s="30"/>
      <c r="N88" s="30" t="s">
        <v>146</v>
      </c>
      <c r="O88" s="30"/>
      <c r="P88" s="31">
        <f>286000</f>
        <v>286000</v>
      </c>
      <c r="Q88" s="31"/>
      <c r="R88" s="31"/>
      <c r="S88" s="31">
        <f>4500</f>
        <v>4500</v>
      </c>
      <c r="T88" s="31"/>
      <c r="U88" s="31"/>
      <c r="V88" s="31"/>
      <c r="W88" s="32">
        <f>281500</f>
        <v>281500</v>
      </c>
      <c r="X88" s="32"/>
    </row>
    <row r="89" spans="1:24" s="1" customFormat="1" ht="14.1" customHeight="1">
      <c r="A89" s="29" t="s">
        <v>93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30" t="s">
        <v>84</v>
      </c>
      <c r="M89" s="30"/>
      <c r="N89" s="30" t="s">
        <v>147</v>
      </c>
      <c r="O89" s="30"/>
      <c r="P89" s="31">
        <f>50000</f>
        <v>50000</v>
      </c>
      <c r="Q89" s="31"/>
      <c r="R89" s="31"/>
      <c r="S89" s="33" t="s">
        <v>72</v>
      </c>
      <c r="T89" s="33"/>
      <c r="U89" s="33"/>
      <c r="V89" s="33"/>
      <c r="W89" s="32">
        <f>50000</f>
        <v>50000</v>
      </c>
      <c r="X89" s="32"/>
    </row>
    <row r="90" spans="1:24" s="1" customFormat="1" ht="14.1" customHeight="1">
      <c r="A90" s="29" t="s">
        <v>89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30" t="s">
        <v>84</v>
      </c>
      <c r="M90" s="30"/>
      <c r="N90" s="30" t="s">
        <v>148</v>
      </c>
      <c r="O90" s="30"/>
      <c r="P90" s="31">
        <f>40000</f>
        <v>40000</v>
      </c>
      <c r="Q90" s="31"/>
      <c r="R90" s="31"/>
      <c r="S90" s="33" t="s">
        <v>72</v>
      </c>
      <c r="T90" s="33"/>
      <c r="U90" s="33"/>
      <c r="V90" s="33"/>
      <c r="W90" s="32">
        <f>40000</f>
        <v>40000</v>
      </c>
      <c r="X90" s="32"/>
    </row>
    <row r="91" spans="1:24" s="1" customFormat="1" ht="14.1" customHeight="1">
      <c r="A91" s="29" t="s">
        <v>126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30" t="s">
        <v>84</v>
      </c>
      <c r="M91" s="30"/>
      <c r="N91" s="30" t="s">
        <v>149</v>
      </c>
      <c r="O91" s="30"/>
      <c r="P91" s="31">
        <f>149000</f>
        <v>149000</v>
      </c>
      <c r="Q91" s="31"/>
      <c r="R91" s="31"/>
      <c r="S91" s="33" t="s">
        <v>72</v>
      </c>
      <c r="T91" s="33"/>
      <c r="U91" s="33"/>
      <c r="V91" s="33"/>
      <c r="W91" s="32">
        <f>149000</f>
        <v>149000</v>
      </c>
      <c r="X91" s="32"/>
    </row>
    <row r="92" spans="1:24" s="1" customFormat="1" ht="14.1" customHeight="1">
      <c r="A92" s="29" t="s">
        <v>96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30" t="s">
        <v>84</v>
      </c>
      <c r="M92" s="30"/>
      <c r="N92" s="30" t="s">
        <v>150</v>
      </c>
      <c r="O92" s="30"/>
      <c r="P92" s="31">
        <f>377200</f>
        <v>377200</v>
      </c>
      <c r="Q92" s="31"/>
      <c r="R92" s="31"/>
      <c r="S92" s="33" t="s">
        <v>72</v>
      </c>
      <c r="T92" s="33"/>
      <c r="U92" s="33"/>
      <c r="V92" s="33"/>
      <c r="W92" s="32">
        <f>377200</f>
        <v>377200</v>
      </c>
      <c r="X92" s="32"/>
    </row>
    <row r="93" spans="1:24" s="1" customFormat="1" ht="14.1" customHeight="1">
      <c r="A93" s="29" t="s">
        <v>89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30" t="s">
        <v>84</v>
      </c>
      <c r="M93" s="30"/>
      <c r="N93" s="30" t="s">
        <v>151</v>
      </c>
      <c r="O93" s="30"/>
      <c r="P93" s="31">
        <f>550000</f>
        <v>550000</v>
      </c>
      <c r="Q93" s="31"/>
      <c r="R93" s="31"/>
      <c r="S93" s="31">
        <f>58823.34</f>
        <v>58823.34</v>
      </c>
      <c r="T93" s="31"/>
      <c r="U93" s="31"/>
      <c r="V93" s="31"/>
      <c r="W93" s="32">
        <f>491176.66</f>
        <v>491176.66</v>
      </c>
      <c r="X93" s="32"/>
    </row>
    <row r="94" spans="1:24" s="1" customFormat="1" ht="14.1" customHeight="1">
      <c r="A94" s="29" t="s">
        <v>85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30" t="s">
        <v>84</v>
      </c>
      <c r="M94" s="30"/>
      <c r="N94" s="30" t="s">
        <v>152</v>
      </c>
      <c r="O94" s="30"/>
      <c r="P94" s="31">
        <f>1167570.1</f>
        <v>1167570.1000000001</v>
      </c>
      <c r="Q94" s="31"/>
      <c r="R94" s="31"/>
      <c r="S94" s="33" t="s">
        <v>72</v>
      </c>
      <c r="T94" s="33"/>
      <c r="U94" s="33"/>
      <c r="V94" s="33"/>
      <c r="W94" s="32">
        <f>1167570.1</f>
        <v>1167570.1000000001</v>
      </c>
      <c r="X94" s="32"/>
    </row>
    <row r="95" spans="1:24" s="1" customFormat="1" ht="14.1" customHeight="1">
      <c r="A95" s="29" t="s">
        <v>87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30" t="s">
        <v>84</v>
      </c>
      <c r="M95" s="30"/>
      <c r="N95" s="30" t="s">
        <v>153</v>
      </c>
      <c r="O95" s="30"/>
      <c r="P95" s="31">
        <f>352082.17</f>
        <v>352082.17</v>
      </c>
      <c r="Q95" s="31"/>
      <c r="R95" s="31"/>
      <c r="S95" s="33" t="s">
        <v>72</v>
      </c>
      <c r="T95" s="33"/>
      <c r="U95" s="33"/>
      <c r="V95" s="33"/>
      <c r="W95" s="32">
        <f>352082.17</f>
        <v>352082.17</v>
      </c>
      <c r="X95" s="32"/>
    </row>
    <row r="96" spans="1:24" s="1" customFormat="1" ht="14.1" customHeight="1">
      <c r="A96" s="29" t="s">
        <v>96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30" t="s">
        <v>84</v>
      </c>
      <c r="M96" s="30"/>
      <c r="N96" s="30" t="s">
        <v>154</v>
      </c>
      <c r="O96" s="30"/>
      <c r="P96" s="31">
        <f>50000</f>
        <v>50000</v>
      </c>
      <c r="Q96" s="31"/>
      <c r="R96" s="31"/>
      <c r="S96" s="33" t="s">
        <v>72</v>
      </c>
      <c r="T96" s="33"/>
      <c r="U96" s="33"/>
      <c r="V96" s="33"/>
      <c r="W96" s="32">
        <f>50000</f>
        <v>50000</v>
      </c>
      <c r="X96" s="32"/>
    </row>
    <row r="97" spans="1:24" s="1" customFormat="1" ht="14.1" customHeight="1">
      <c r="A97" s="29" t="s">
        <v>105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30" t="s">
        <v>84</v>
      </c>
      <c r="M97" s="30"/>
      <c r="N97" s="30" t="s">
        <v>155</v>
      </c>
      <c r="O97" s="30"/>
      <c r="P97" s="31">
        <f>14200</f>
        <v>14200</v>
      </c>
      <c r="Q97" s="31"/>
      <c r="R97" s="31"/>
      <c r="S97" s="31">
        <f>800</f>
        <v>800</v>
      </c>
      <c r="T97" s="31"/>
      <c r="U97" s="31"/>
      <c r="V97" s="31"/>
      <c r="W97" s="32">
        <f>13400</f>
        <v>13400</v>
      </c>
      <c r="X97" s="32"/>
    </row>
    <row r="98" spans="1:24" s="1" customFormat="1" ht="14.1" customHeight="1">
      <c r="A98" s="29" t="s">
        <v>134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30" t="s">
        <v>84</v>
      </c>
      <c r="M98" s="30"/>
      <c r="N98" s="30" t="s">
        <v>156</v>
      </c>
      <c r="O98" s="30"/>
      <c r="P98" s="31">
        <f>36560</f>
        <v>36560</v>
      </c>
      <c r="Q98" s="31"/>
      <c r="R98" s="31"/>
      <c r="S98" s="31">
        <f>36560</f>
        <v>36560</v>
      </c>
      <c r="T98" s="31"/>
      <c r="U98" s="31"/>
      <c r="V98" s="31"/>
      <c r="W98" s="32">
        <f>0</f>
        <v>0</v>
      </c>
      <c r="X98" s="32"/>
    </row>
    <row r="99" spans="1:24" s="1" customFormat="1" ht="14.1" customHeight="1">
      <c r="A99" s="29" t="s">
        <v>89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30" t="s">
        <v>84</v>
      </c>
      <c r="M99" s="30"/>
      <c r="N99" s="30" t="s">
        <v>157</v>
      </c>
      <c r="O99" s="30"/>
      <c r="P99" s="31">
        <f>44940</f>
        <v>44940</v>
      </c>
      <c r="Q99" s="31"/>
      <c r="R99" s="31"/>
      <c r="S99" s="31">
        <f>15000</f>
        <v>15000</v>
      </c>
      <c r="T99" s="31"/>
      <c r="U99" s="31"/>
      <c r="V99" s="31"/>
      <c r="W99" s="32">
        <f>29940</f>
        <v>29940</v>
      </c>
      <c r="X99" s="32"/>
    </row>
    <row r="100" spans="1:24" s="1" customFormat="1" ht="14.1" customHeight="1">
      <c r="A100" s="29" t="s">
        <v>89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30" t="s">
        <v>84</v>
      </c>
      <c r="M100" s="30"/>
      <c r="N100" s="30" t="s">
        <v>158</v>
      </c>
      <c r="O100" s="30"/>
      <c r="P100" s="31">
        <f>100000</f>
        <v>100000</v>
      </c>
      <c r="Q100" s="31"/>
      <c r="R100" s="31"/>
      <c r="S100" s="31">
        <f>36000</f>
        <v>36000</v>
      </c>
      <c r="T100" s="31"/>
      <c r="U100" s="31"/>
      <c r="V100" s="31"/>
      <c r="W100" s="32">
        <f>64000</f>
        <v>64000</v>
      </c>
      <c r="X100" s="32"/>
    </row>
    <row r="101" spans="1:24" s="1" customFormat="1" ht="14.1" customHeight="1">
      <c r="A101" s="29" t="s">
        <v>89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30" t="s">
        <v>84</v>
      </c>
      <c r="M101" s="30"/>
      <c r="N101" s="30" t="s">
        <v>159</v>
      </c>
      <c r="O101" s="30"/>
      <c r="P101" s="31">
        <f>100000</f>
        <v>100000</v>
      </c>
      <c r="Q101" s="31"/>
      <c r="R101" s="31"/>
      <c r="S101" s="33" t="s">
        <v>72</v>
      </c>
      <c r="T101" s="33"/>
      <c r="U101" s="33"/>
      <c r="V101" s="33"/>
      <c r="W101" s="32">
        <f>100000</f>
        <v>100000</v>
      </c>
      <c r="X101" s="32"/>
    </row>
    <row r="102" spans="1:24" s="1" customFormat="1" ht="14.1" customHeight="1">
      <c r="A102" s="29" t="s">
        <v>96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30" t="s">
        <v>84</v>
      </c>
      <c r="M102" s="30"/>
      <c r="N102" s="30" t="s">
        <v>160</v>
      </c>
      <c r="O102" s="30"/>
      <c r="P102" s="31">
        <f>200000</f>
        <v>200000</v>
      </c>
      <c r="Q102" s="31"/>
      <c r="R102" s="31"/>
      <c r="S102" s="33" t="s">
        <v>72</v>
      </c>
      <c r="T102" s="33"/>
      <c r="U102" s="33"/>
      <c r="V102" s="33"/>
      <c r="W102" s="32">
        <f>200000</f>
        <v>200000</v>
      </c>
      <c r="X102" s="32"/>
    </row>
    <row r="103" spans="1:24" s="1" customFormat="1" ht="14.1" customHeight="1">
      <c r="A103" s="29" t="s">
        <v>96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30" t="s">
        <v>84</v>
      </c>
      <c r="M103" s="30"/>
      <c r="N103" s="30" t="s">
        <v>161</v>
      </c>
      <c r="O103" s="30"/>
      <c r="P103" s="31">
        <f>20000</f>
        <v>20000</v>
      </c>
      <c r="Q103" s="31"/>
      <c r="R103" s="31"/>
      <c r="S103" s="33" t="s">
        <v>72</v>
      </c>
      <c r="T103" s="33"/>
      <c r="U103" s="33"/>
      <c r="V103" s="33"/>
      <c r="W103" s="32">
        <f>20000</f>
        <v>20000</v>
      </c>
      <c r="X103" s="32"/>
    </row>
    <row r="104" spans="1:24" s="1" customFormat="1" ht="24" customHeight="1">
      <c r="A104" s="29" t="s">
        <v>162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30" t="s">
        <v>84</v>
      </c>
      <c r="M104" s="30"/>
      <c r="N104" s="30" t="s">
        <v>163</v>
      </c>
      <c r="O104" s="30"/>
      <c r="P104" s="31">
        <f>4636800</f>
        <v>4636800</v>
      </c>
      <c r="Q104" s="31"/>
      <c r="R104" s="31"/>
      <c r="S104" s="31">
        <f>386400</f>
        <v>386400</v>
      </c>
      <c r="T104" s="31"/>
      <c r="U104" s="31"/>
      <c r="V104" s="31"/>
      <c r="W104" s="32">
        <f>4250400</f>
        <v>4250400</v>
      </c>
      <c r="X104" s="32"/>
    </row>
    <row r="105" spans="1:24" s="1" customFormat="1" ht="14.1" customHeight="1">
      <c r="A105" s="29" t="s">
        <v>93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30" t="s">
        <v>84</v>
      </c>
      <c r="M105" s="30"/>
      <c r="N105" s="30" t="s">
        <v>164</v>
      </c>
      <c r="O105" s="30"/>
      <c r="P105" s="31">
        <f>3807000</f>
        <v>3807000</v>
      </c>
      <c r="Q105" s="31"/>
      <c r="R105" s="31"/>
      <c r="S105" s="33" t="s">
        <v>72</v>
      </c>
      <c r="T105" s="33"/>
      <c r="U105" s="33"/>
      <c r="V105" s="33"/>
      <c r="W105" s="32">
        <f>3807000</f>
        <v>3807000</v>
      </c>
      <c r="X105" s="32"/>
    </row>
    <row r="106" spans="1:24" s="1" customFormat="1" ht="14.1" customHeight="1">
      <c r="A106" s="29" t="s">
        <v>126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30" t="s">
        <v>84</v>
      </c>
      <c r="M106" s="30"/>
      <c r="N106" s="30" t="s">
        <v>165</v>
      </c>
      <c r="O106" s="30"/>
      <c r="P106" s="31">
        <f>0</f>
        <v>0</v>
      </c>
      <c r="Q106" s="31"/>
      <c r="R106" s="31"/>
      <c r="S106" s="33" t="s">
        <v>72</v>
      </c>
      <c r="T106" s="33"/>
      <c r="U106" s="33"/>
      <c r="V106" s="33"/>
      <c r="W106" s="32">
        <f>0</f>
        <v>0</v>
      </c>
      <c r="X106" s="32"/>
    </row>
    <row r="107" spans="1:24" s="1" customFormat="1" ht="14.1" customHeight="1">
      <c r="A107" s="29" t="s">
        <v>96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30" t="s">
        <v>84</v>
      </c>
      <c r="M107" s="30"/>
      <c r="N107" s="30" t="s">
        <v>166</v>
      </c>
      <c r="O107" s="30"/>
      <c r="P107" s="31">
        <f>3000000</f>
        <v>3000000</v>
      </c>
      <c r="Q107" s="31"/>
      <c r="R107" s="31"/>
      <c r="S107" s="33" t="s">
        <v>72</v>
      </c>
      <c r="T107" s="33"/>
      <c r="U107" s="33"/>
      <c r="V107" s="33"/>
      <c r="W107" s="32">
        <f>3000000</f>
        <v>3000000</v>
      </c>
      <c r="X107" s="32"/>
    </row>
    <row r="108" spans="1:24" s="1" customFormat="1" ht="14.1" customHeight="1">
      <c r="A108" s="29" t="s">
        <v>89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30" t="s">
        <v>84</v>
      </c>
      <c r="M108" s="30"/>
      <c r="N108" s="30" t="s">
        <v>167</v>
      </c>
      <c r="O108" s="30"/>
      <c r="P108" s="31">
        <f>400000</f>
        <v>400000</v>
      </c>
      <c r="Q108" s="31"/>
      <c r="R108" s="31"/>
      <c r="S108" s="33" t="s">
        <v>72</v>
      </c>
      <c r="T108" s="33"/>
      <c r="U108" s="33"/>
      <c r="V108" s="33"/>
      <c r="W108" s="32">
        <f>400000</f>
        <v>400000</v>
      </c>
      <c r="X108" s="32"/>
    </row>
    <row r="109" spans="1:24" s="1" customFormat="1" ht="14.1" customHeight="1">
      <c r="A109" s="29" t="s">
        <v>126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30" t="s">
        <v>84</v>
      </c>
      <c r="M109" s="30"/>
      <c r="N109" s="30" t="s">
        <v>168</v>
      </c>
      <c r="O109" s="30"/>
      <c r="P109" s="31">
        <f>2400000</f>
        <v>2400000</v>
      </c>
      <c r="Q109" s="31"/>
      <c r="R109" s="31"/>
      <c r="S109" s="33" t="s">
        <v>72</v>
      </c>
      <c r="T109" s="33"/>
      <c r="U109" s="33"/>
      <c r="V109" s="33"/>
      <c r="W109" s="32">
        <f>2400000</f>
        <v>2400000</v>
      </c>
      <c r="X109" s="32"/>
    </row>
    <row r="110" spans="1:24" s="1" customFormat="1" ht="14.1" customHeight="1">
      <c r="A110" s="29" t="s">
        <v>93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30" t="s">
        <v>84</v>
      </c>
      <c r="M110" s="30"/>
      <c r="N110" s="30" t="s">
        <v>169</v>
      </c>
      <c r="O110" s="30"/>
      <c r="P110" s="31">
        <f>7000000</f>
        <v>7000000</v>
      </c>
      <c r="Q110" s="31"/>
      <c r="R110" s="31"/>
      <c r="S110" s="33" t="s">
        <v>72</v>
      </c>
      <c r="T110" s="33"/>
      <c r="U110" s="33"/>
      <c r="V110" s="33"/>
      <c r="W110" s="32">
        <f>7000000</f>
        <v>7000000</v>
      </c>
      <c r="X110" s="32"/>
    </row>
    <row r="111" spans="1:24" s="1" customFormat="1" ht="14.1" customHeight="1">
      <c r="A111" s="29" t="s">
        <v>89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30" t="s">
        <v>84</v>
      </c>
      <c r="M111" s="30"/>
      <c r="N111" s="30" t="s">
        <v>170</v>
      </c>
      <c r="O111" s="30"/>
      <c r="P111" s="31">
        <f>600000</f>
        <v>600000</v>
      </c>
      <c r="Q111" s="31"/>
      <c r="R111" s="31"/>
      <c r="S111" s="33" t="s">
        <v>72</v>
      </c>
      <c r="T111" s="33"/>
      <c r="U111" s="33"/>
      <c r="V111" s="33"/>
      <c r="W111" s="32">
        <f>600000</f>
        <v>600000</v>
      </c>
      <c r="X111" s="32"/>
    </row>
    <row r="112" spans="1:24" s="1" customFormat="1" ht="14.1" customHeight="1">
      <c r="A112" s="29" t="s">
        <v>89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30" t="s">
        <v>84</v>
      </c>
      <c r="M112" s="30"/>
      <c r="N112" s="30" t="s">
        <v>171</v>
      </c>
      <c r="O112" s="30"/>
      <c r="P112" s="31">
        <f>150000</f>
        <v>150000</v>
      </c>
      <c r="Q112" s="31"/>
      <c r="R112" s="31"/>
      <c r="S112" s="33" t="s">
        <v>72</v>
      </c>
      <c r="T112" s="33"/>
      <c r="U112" s="33"/>
      <c r="V112" s="33"/>
      <c r="W112" s="32">
        <f>150000</f>
        <v>150000</v>
      </c>
      <c r="X112" s="32"/>
    </row>
    <row r="113" spans="1:24" s="1" customFormat="1" ht="24" customHeight="1">
      <c r="A113" s="29" t="s">
        <v>162</v>
      </c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30" t="s">
        <v>84</v>
      </c>
      <c r="M113" s="30"/>
      <c r="N113" s="30" t="s">
        <v>172</v>
      </c>
      <c r="O113" s="30"/>
      <c r="P113" s="31">
        <f>50000</f>
        <v>50000</v>
      </c>
      <c r="Q113" s="31"/>
      <c r="R113" s="31"/>
      <c r="S113" s="33" t="s">
        <v>72</v>
      </c>
      <c r="T113" s="33"/>
      <c r="U113" s="33"/>
      <c r="V113" s="33"/>
      <c r="W113" s="32">
        <f>50000</f>
        <v>50000</v>
      </c>
      <c r="X113" s="32"/>
    </row>
    <row r="114" spans="1:24" s="1" customFormat="1" ht="14.1" customHeight="1">
      <c r="A114" s="29" t="s">
        <v>89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30" t="s">
        <v>84</v>
      </c>
      <c r="M114" s="30"/>
      <c r="N114" s="30" t="s">
        <v>173</v>
      </c>
      <c r="O114" s="30"/>
      <c r="P114" s="31">
        <f>0</f>
        <v>0</v>
      </c>
      <c r="Q114" s="31"/>
      <c r="R114" s="31"/>
      <c r="S114" s="33" t="s">
        <v>72</v>
      </c>
      <c r="T114" s="33"/>
      <c r="U114" s="33"/>
      <c r="V114" s="33"/>
      <c r="W114" s="32">
        <f>0</f>
        <v>0</v>
      </c>
      <c r="X114" s="32"/>
    </row>
    <row r="115" spans="1:24" s="1" customFormat="1" ht="14.1" customHeight="1">
      <c r="A115" s="29" t="s">
        <v>126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30" t="s">
        <v>84</v>
      </c>
      <c r="M115" s="30"/>
      <c r="N115" s="30" t="s">
        <v>174</v>
      </c>
      <c r="O115" s="30"/>
      <c r="P115" s="31">
        <f>0</f>
        <v>0</v>
      </c>
      <c r="Q115" s="31"/>
      <c r="R115" s="31"/>
      <c r="S115" s="33" t="s">
        <v>72</v>
      </c>
      <c r="T115" s="33"/>
      <c r="U115" s="33"/>
      <c r="V115" s="33"/>
      <c r="W115" s="32">
        <f>0</f>
        <v>0</v>
      </c>
      <c r="X115" s="32"/>
    </row>
    <row r="116" spans="1:24" s="1" customFormat="1" ht="14.1" customHeight="1">
      <c r="A116" s="29" t="s">
        <v>89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30" t="s">
        <v>84</v>
      </c>
      <c r="M116" s="30"/>
      <c r="N116" s="30" t="s">
        <v>175</v>
      </c>
      <c r="O116" s="30"/>
      <c r="P116" s="31">
        <f>800000</f>
        <v>800000</v>
      </c>
      <c r="Q116" s="31"/>
      <c r="R116" s="31"/>
      <c r="S116" s="33" t="s">
        <v>72</v>
      </c>
      <c r="T116" s="33"/>
      <c r="U116" s="33"/>
      <c r="V116" s="33"/>
      <c r="W116" s="32">
        <f>800000</f>
        <v>800000</v>
      </c>
      <c r="X116" s="32"/>
    </row>
    <row r="117" spans="1:24" s="1" customFormat="1" ht="14.1" customHeight="1">
      <c r="A117" s="29" t="s">
        <v>126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30" t="s">
        <v>84</v>
      </c>
      <c r="M117" s="30"/>
      <c r="N117" s="30" t="s">
        <v>176</v>
      </c>
      <c r="O117" s="30"/>
      <c r="P117" s="31">
        <f>7000000</f>
        <v>7000000</v>
      </c>
      <c r="Q117" s="31"/>
      <c r="R117" s="31"/>
      <c r="S117" s="33" t="s">
        <v>72</v>
      </c>
      <c r="T117" s="33"/>
      <c r="U117" s="33"/>
      <c r="V117" s="33"/>
      <c r="W117" s="32">
        <f>7000000</f>
        <v>7000000</v>
      </c>
      <c r="X117" s="32"/>
    </row>
    <row r="118" spans="1:24" s="1" customFormat="1" ht="14.1" customHeight="1">
      <c r="A118" s="29" t="s">
        <v>93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30" t="s">
        <v>84</v>
      </c>
      <c r="M118" s="30"/>
      <c r="N118" s="30" t="s">
        <v>177</v>
      </c>
      <c r="O118" s="30"/>
      <c r="P118" s="31">
        <f>4165320</f>
        <v>4165320</v>
      </c>
      <c r="Q118" s="31"/>
      <c r="R118" s="31"/>
      <c r="S118" s="33" t="s">
        <v>72</v>
      </c>
      <c r="T118" s="33"/>
      <c r="U118" s="33"/>
      <c r="V118" s="33"/>
      <c r="W118" s="32">
        <f>4165320</f>
        <v>4165320</v>
      </c>
      <c r="X118" s="32"/>
    </row>
    <row r="119" spans="1:24" s="1" customFormat="1" ht="14.1" customHeight="1">
      <c r="A119" s="29" t="s">
        <v>93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30" t="s">
        <v>84</v>
      </c>
      <c r="M119" s="30"/>
      <c r="N119" s="30" t="s">
        <v>178</v>
      </c>
      <c r="O119" s="30"/>
      <c r="P119" s="31">
        <f>1100000</f>
        <v>1100000</v>
      </c>
      <c r="Q119" s="31"/>
      <c r="R119" s="31"/>
      <c r="S119" s="33" t="s">
        <v>72</v>
      </c>
      <c r="T119" s="33"/>
      <c r="U119" s="33"/>
      <c r="V119" s="33"/>
      <c r="W119" s="32">
        <f>1100000</f>
        <v>1100000</v>
      </c>
      <c r="X119" s="32"/>
    </row>
    <row r="120" spans="1:24" s="1" customFormat="1" ht="14.1" customHeight="1">
      <c r="A120" s="29" t="s">
        <v>89</v>
      </c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30" t="s">
        <v>84</v>
      </c>
      <c r="M120" s="30"/>
      <c r="N120" s="30" t="s">
        <v>179</v>
      </c>
      <c r="O120" s="30"/>
      <c r="P120" s="31">
        <f>3400000</f>
        <v>3400000</v>
      </c>
      <c r="Q120" s="31"/>
      <c r="R120" s="31"/>
      <c r="S120" s="33" t="s">
        <v>72</v>
      </c>
      <c r="T120" s="33"/>
      <c r="U120" s="33"/>
      <c r="V120" s="33"/>
      <c r="W120" s="32">
        <f>3400000</f>
        <v>3400000</v>
      </c>
      <c r="X120" s="32"/>
    </row>
    <row r="121" spans="1:24" s="1" customFormat="1" ht="14.1" customHeight="1">
      <c r="A121" s="29" t="s">
        <v>109</v>
      </c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30" t="s">
        <v>84</v>
      </c>
      <c r="M121" s="30"/>
      <c r="N121" s="30" t="s">
        <v>180</v>
      </c>
      <c r="O121" s="30"/>
      <c r="P121" s="31">
        <f>10000000</f>
        <v>10000000</v>
      </c>
      <c r="Q121" s="31"/>
      <c r="R121" s="31"/>
      <c r="S121" s="31">
        <f>891981.57</f>
        <v>891981.57</v>
      </c>
      <c r="T121" s="31"/>
      <c r="U121" s="31"/>
      <c r="V121" s="31"/>
      <c r="W121" s="32">
        <f>9108018.43</f>
        <v>9108018.4299999997</v>
      </c>
      <c r="X121" s="32"/>
    </row>
    <row r="122" spans="1:24" s="1" customFormat="1" ht="14.1" customHeight="1">
      <c r="A122" s="29" t="s">
        <v>89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30" t="s">
        <v>84</v>
      </c>
      <c r="M122" s="30"/>
      <c r="N122" s="30" t="s">
        <v>181</v>
      </c>
      <c r="O122" s="30"/>
      <c r="P122" s="31">
        <f>13932</f>
        <v>13932</v>
      </c>
      <c r="Q122" s="31"/>
      <c r="R122" s="31"/>
      <c r="S122" s="33" t="s">
        <v>72</v>
      </c>
      <c r="T122" s="33"/>
      <c r="U122" s="33"/>
      <c r="V122" s="33"/>
      <c r="W122" s="32">
        <f>13932</f>
        <v>13932</v>
      </c>
      <c r="X122" s="32"/>
    </row>
    <row r="123" spans="1:24" s="1" customFormat="1" ht="14.1" customHeight="1">
      <c r="A123" s="29" t="s">
        <v>109</v>
      </c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30" t="s">
        <v>84</v>
      </c>
      <c r="M123" s="30"/>
      <c r="N123" s="30" t="s">
        <v>182</v>
      </c>
      <c r="O123" s="30"/>
      <c r="P123" s="31">
        <f>35000</f>
        <v>35000</v>
      </c>
      <c r="Q123" s="31"/>
      <c r="R123" s="31"/>
      <c r="S123" s="33" t="s">
        <v>72</v>
      </c>
      <c r="T123" s="33"/>
      <c r="U123" s="33"/>
      <c r="V123" s="33"/>
      <c r="W123" s="32">
        <f>35000</f>
        <v>35000</v>
      </c>
      <c r="X123" s="32"/>
    </row>
    <row r="124" spans="1:24" s="1" customFormat="1" ht="14.1" customHeight="1">
      <c r="A124" s="29" t="s">
        <v>126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30" t="s">
        <v>84</v>
      </c>
      <c r="M124" s="30"/>
      <c r="N124" s="30" t="s">
        <v>183</v>
      </c>
      <c r="O124" s="30"/>
      <c r="P124" s="31">
        <f>1200000</f>
        <v>1200000</v>
      </c>
      <c r="Q124" s="31"/>
      <c r="R124" s="31"/>
      <c r="S124" s="33" t="s">
        <v>72</v>
      </c>
      <c r="T124" s="33"/>
      <c r="U124" s="33"/>
      <c r="V124" s="33"/>
      <c r="W124" s="32">
        <f>1200000</f>
        <v>1200000</v>
      </c>
      <c r="X124" s="32"/>
    </row>
    <row r="125" spans="1:24" s="1" customFormat="1" ht="14.1" customHeight="1">
      <c r="A125" s="29" t="s">
        <v>126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30" t="s">
        <v>84</v>
      </c>
      <c r="M125" s="30"/>
      <c r="N125" s="30" t="s">
        <v>184</v>
      </c>
      <c r="O125" s="30"/>
      <c r="P125" s="31">
        <f>714269</f>
        <v>714269</v>
      </c>
      <c r="Q125" s="31"/>
      <c r="R125" s="31"/>
      <c r="S125" s="33" t="s">
        <v>72</v>
      </c>
      <c r="T125" s="33"/>
      <c r="U125" s="33"/>
      <c r="V125" s="33"/>
      <c r="W125" s="32">
        <f>714269</f>
        <v>714269</v>
      </c>
      <c r="X125" s="32"/>
    </row>
    <row r="126" spans="1:24" s="1" customFormat="1" ht="14.1" customHeight="1">
      <c r="A126" s="29" t="s">
        <v>109</v>
      </c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30" t="s">
        <v>84</v>
      </c>
      <c r="M126" s="30"/>
      <c r="N126" s="30" t="s">
        <v>185</v>
      </c>
      <c r="O126" s="30"/>
      <c r="P126" s="31">
        <f>116725.2</f>
        <v>116725.2</v>
      </c>
      <c r="Q126" s="31"/>
      <c r="R126" s="31"/>
      <c r="S126" s="31">
        <f>7878.06</f>
        <v>7878.06</v>
      </c>
      <c r="T126" s="31"/>
      <c r="U126" s="31"/>
      <c r="V126" s="31"/>
      <c r="W126" s="32">
        <f>108847.14</f>
        <v>108847.14</v>
      </c>
      <c r="X126" s="32"/>
    </row>
    <row r="127" spans="1:24" s="1" customFormat="1" ht="14.1" customHeight="1">
      <c r="A127" s="29" t="s">
        <v>93</v>
      </c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30" t="s">
        <v>84</v>
      </c>
      <c r="M127" s="30"/>
      <c r="N127" s="30" t="s">
        <v>186</v>
      </c>
      <c r="O127" s="30"/>
      <c r="P127" s="31">
        <f>18000</f>
        <v>18000</v>
      </c>
      <c r="Q127" s="31"/>
      <c r="R127" s="31"/>
      <c r="S127" s="33" t="s">
        <v>72</v>
      </c>
      <c r="T127" s="33"/>
      <c r="U127" s="33"/>
      <c r="V127" s="33"/>
      <c r="W127" s="32">
        <f>18000</f>
        <v>18000</v>
      </c>
      <c r="X127" s="32"/>
    </row>
    <row r="128" spans="1:24" s="1" customFormat="1" ht="14.1" customHeight="1">
      <c r="A128" s="29" t="s">
        <v>89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30" t="s">
        <v>84</v>
      </c>
      <c r="M128" s="30"/>
      <c r="N128" s="30" t="s">
        <v>187</v>
      </c>
      <c r="O128" s="30"/>
      <c r="P128" s="31">
        <f>1400</f>
        <v>1400</v>
      </c>
      <c r="Q128" s="31"/>
      <c r="R128" s="31"/>
      <c r="S128" s="33" t="s">
        <v>72</v>
      </c>
      <c r="T128" s="33"/>
      <c r="U128" s="33"/>
      <c r="V128" s="33"/>
      <c r="W128" s="32">
        <f>1400</f>
        <v>1400</v>
      </c>
      <c r="X128" s="32"/>
    </row>
    <row r="129" spans="1:24" s="1" customFormat="1" ht="14.1" customHeight="1">
      <c r="A129" s="29" t="s">
        <v>126</v>
      </c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30" t="s">
        <v>84</v>
      </c>
      <c r="M129" s="30"/>
      <c r="N129" s="30" t="s">
        <v>188</v>
      </c>
      <c r="O129" s="30"/>
      <c r="P129" s="31">
        <f>410004</f>
        <v>410004</v>
      </c>
      <c r="Q129" s="31"/>
      <c r="R129" s="31"/>
      <c r="S129" s="33" t="s">
        <v>72</v>
      </c>
      <c r="T129" s="33"/>
      <c r="U129" s="33"/>
      <c r="V129" s="33"/>
      <c r="W129" s="32">
        <f>410004</f>
        <v>410004</v>
      </c>
      <c r="X129" s="32"/>
    </row>
    <row r="130" spans="1:24" s="1" customFormat="1" ht="14.1" customHeight="1">
      <c r="A130" s="29" t="s">
        <v>96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30" t="s">
        <v>84</v>
      </c>
      <c r="M130" s="30"/>
      <c r="N130" s="30" t="s">
        <v>189</v>
      </c>
      <c r="O130" s="30"/>
      <c r="P130" s="31">
        <f>200000</f>
        <v>200000</v>
      </c>
      <c r="Q130" s="31"/>
      <c r="R130" s="31"/>
      <c r="S130" s="33" t="s">
        <v>72</v>
      </c>
      <c r="T130" s="33"/>
      <c r="U130" s="33"/>
      <c r="V130" s="33"/>
      <c r="W130" s="32">
        <f>200000</f>
        <v>200000</v>
      </c>
      <c r="X130" s="32"/>
    </row>
    <row r="131" spans="1:24" s="1" customFormat="1" ht="14.1" customHeight="1">
      <c r="A131" s="29" t="s">
        <v>126</v>
      </c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30" t="s">
        <v>84</v>
      </c>
      <c r="M131" s="30"/>
      <c r="N131" s="30" t="s">
        <v>190</v>
      </c>
      <c r="O131" s="30"/>
      <c r="P131" s="31">
        <f>3551800</f>
        <v>3551800</v>
      </c>
      <c r="Q131" s="31"/>
      <c r="R131" s="31"/>
      <c r="S131" s="33" t="s">
        <v>72</v>
      </c>
      <c r="T131" s="33"/>
      <c r="U131" s="33"/>
      <c r="V131" s="33"/>
      <c r="W131" s="32">
        <f>3551800</f>
        <v>3551800</v>
      </c>
      <c r="X131" s="32"/>
    </row>
    <row r="132" spans="1:24" s="1" customFormat="1" ht="14.1" customHeight="1">
      <c r="A132" s="29" t="s">
        <v>89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30" t="s">
        <v>84</v>
      </c>
      <c r="M132" s="30"/>
      <c r="N132" s="30" t="s">
        <v>191</v>
      </c>
      <c r="O132" s="30"/>
      <c r="P132" s="31">
        <f>100000</f>
        <v>100000</v>
      </c>
      <c r="Q132" s="31"/>
      <c r="R132" s="31"/>
      <c r="S132" s="33" t="s">
        <v>72</v>
      </c>
      <c r="T132" s="33"/>
      <c r="U132" s="33"/>
      <c r="V132" s="33"/>
      <c r="W132" s="32">
        <f>100000</f>
        <v>100000</v>
      </c>
      <c r="X132" s="32"/>
    </row>
    <row r="133" spans="1:24" s="1" customFormat="1" ht="14.1" customHeight="1">
      <c r="A133" s="29" t="s">
        <v>93</v>
      </c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30" t="s">
        <v>84</v>
      </c>
      <c r="M133" s="30"/>
      <c r="N133" s="30" t="s">
        <v>192</v>
      </c>
      <c r="O133" s="30"/>
      <c r="P133" s="31">
        <f>2195000</f>
        <v>2195000</v>
      </c>
      <c r="Q133" s="31"/>
      <c r="R133" s="31"/>
      <c r="S133" s="31">
        <f>148310.5</f>
        <v>148310.5</v>
      </c>
      <c r="T133" s="31"/>
      <c r="U133" s="31"/>
      <c r="V133" s="31"/>
      <c r="W133" s="32">
        <f>2046689.5</f>
        <v>2046689.5</v>
      </c>
      <c r="X133" s="32"/>
    </row>
    <row r="134" spans="1:24" s="1" customFormat="1" ht="14.1" customHeight="1">
      <c r="A134" s="29" t="s">
        <v>109</v>
      </c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30" t="s">
        <v>84</v>
      </c>
      <c r="M134" s="30"/>
      <c r="N134" s="30" t="s">
        <v>193</v>
      </c>
      <c r="O134" s="30"/>
      <c r="P134" s="31">
        <f>136250.92</f>
        <v>136250.92000000001</v>
      </c>
      <c r="Q134" s="31"/>
      <c r="R134" s="31"/>
      <c r="S134" s="33" t="s">
        <v>72</v>
      </c>
      <c r="T134" s="33"/>
      <c r="U134" s="33"/>
      <c r="V134" s="33"/>
      <c r="W134" s="32">
        <f>136250.92</f>
        <v>136250.92000000001</v>
      </c>
      <c r="X134" s="32"/>
    </row>
    <row r="135" spans="1:24" s="1" customFormat="1" ht="14.1" customHeight="1">
      <c r="A135" s="29" t="s">
        <v>142</v>
      </c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30" t="s">
        <v>84</v>
      </c>
      <c r="M135" s="30"/>
      <c r="N135" s="30" t="s">
        <v>194</v>
      </c>
      <c r="O135" s="30"/>
      <c r="P135" s="31">
        <f>423149.69</f>
        <v>423149.69</v>
      </c>
      <c r="Q135" s="31"/>
      <c r="R135" s="31"/>
      <c r="S135" s="33" t="s">
        <v>72</v>
      </c>
      <c r="T135" s="33"/>
      <c r="U135" s="33"/>
      <c r="V135" s="33"/>
      <c r="W135" s="32">
        <f>423149.69</f>
        <v>423149.69</v>
      </c>
      <c r="X135" s="32"/>
    </row>
    <row r="136" spans="1:24" s="1" customFormat="1" ht="14.1" customHeight="1">
      <c r="A136" s="29" t="s">
        <v>85</v>
      </c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30" t="s">
        <v>84</v>
      </c>
      <c r="M136" s="30"/>
      <c r="N136" s="30" t="s">
        <v>195</v>
      </c>
      <c r="O136" s="30"/>
      <c r="P136" s="31">
        <f>1524462.85</f>
        <v>1524462.85</v>
      </c>
      <c r="Q136" s="31"/>
      <c r="R136" s="31"/>
      <c r="S136" s="31">
        <f>125064.05</f>
        <v>125064.05</v>
      </c>
      <c r="T136" s="31"/>
      <c r="U136" s="31"/>
      <c r="V136" s="31"/>
      <c r="W136" s="32">
        <f>1399398.8</f>
        <v>1399398.8</v>
      </c>
      <c r="X136" s="32"/>
    </row>
    <row r="137" spans="1:24" s="1" customFormat="1" ht="14.1" customHeight="1">
      <c r="A137" s="29" t="s">
        <v>87</v>
      </c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30" t="s">
        <v>84</v>
      </c>
      <c r="M137" s="30"/>
      <c r="N137" s="30" t="s">
        <v>196</v>
      </c>
      <c r="O137" s="30"/>
      <c r="P137" s="31">
        <f>460387.78</f>
        <v>460387.78</v>
      </c>
      <c r="Q137" s="31"/>
      <c r="R137" s="31"/>
      <c r="S137" s="31">
        <f>36706.92</f>
        <v>36706.92</v>
      </c>
      <c r="T137" s="31"/>
      <c r="U137" s="31"/>
      <c r="V137" s="31"/>
      <c r="W137" s="32">
        <f>423680.86</f>
        <v>423680.86</v>
      </c>
      <c r="X137" s="32"/>
    </row>
    <row r="138" spans="1:24" s="1" customFormat="1" ht="14.1" customHeight="1">
      <c r="A138" s="29" t="s">
        <v>91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30" t="s">
        <v>84</v>
      </c>
      <c r="M138" s="30"/>
      <c r="N138" s="30" t="s">
        <v>197</v>
      </c>
      <c r="O138" s="30"/>
      <c r="P138" s="31">
        <f>49343.2</f>
        <v>49343.199999999997</v>
      </c>
      <c r="Q138" s="31"/>
      <c r="R138" s="31"/>
      <c r="S138" s="31">
        <f>6903.35</f>
        <v>6903.35</v>
      </c>
      <c r="T138" s="31"/>
      <c r="U138" s="31"/>
      <c r="V138" s="31"/>
      <c r="W138" s="32">
        <f>42439.85</f>
        <v>42439.85</v>
      </c>
      <c r="X138" s="32"/>
    </row>
    <row r="139" spans="1:24" s="1" customFormat="1" ht="14.1" customHeight="1">
      <c r="A139" s="29" t="s">
        <v>109</v>
      </c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30" t="s">
        <v>84</v>
      </c>
      <c r="M139" s="30"/>
      <c r="N139" s="30" t="s">
        <v>198</v>
      </c>
      <c r="O139" s="30"/>
      <c r="P139" s="31">
        <f>25960.62</f>
        <v>25960.62</v>
      </c>
      <c r="Q139" s="31"/>
      <c r="R139" s="31"/>
      <c r="S139" s="31">
        <f>718.91</f>
        <v>718.91</v>
      </c>
      <c r="T139" s="31"/>
      <c r="U139" s="31"/>
      <c r="V139" s="31"/>
      <c r="W139" s="32">
        <f>25241.71</f>
        <v>25241.71</v>
      </c>
      <c r="X139" s="32"/>
    </row>
    <row r="140" spans="1:24" s="1" customFormat="1" ht="14.1" customHeight="1">
      <c r="A140" s="29" t="s">
        <v>93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30" t="s">
        <v>84</v>
      </c>
      <c r="M140" s="30"/>
      <c r="N140" s="30" t="s">
        <v>199</v>
      </c>
      <c r="O140" s="30"/>
      <c r="P140" s="31">
        <f>45546.87</f>
        <v>45546.87</v>
      </c>
      <c r="Q140" s="31"/>
      <c r="R140" s="31"/>
      <c r="S140" s="33" t="s">
        <v>72</v>
      </c>
      <c r="T140" s="33"/>
      <c r="U140" s="33"/>
      <c r="V140" s="33"/>
      <c r="W140" s="32">
        <f>45546.87</f>
        <v>45546.87</v>
      </c>
      <c r="X140" s="32"/>
    </row>
    <row r="141" spans="1:24" s="1" customFormat="1" ht="14.1" customHeight="1">
      <c r="A141" s="29" t="s">
        <v>89</v>
      </c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30" t="s">
        <v>84</v>
      </c>
      <c r="M141" s="30"/>
      <c r="N141" s="30" t="s">
        <v>200</v>
      </c>
      <c r="O141" s="30"/>
      <c r="P141" s="31">
        <f>101886.69</f>
        <v>101886.69</v>
      </c>
      <c r="Q141" s="31"/>
      <c r="R141" s="31"/>
      <c r="S141" s="33" t="s">
        <v>72</v>
      </c>
      <c r="T141" s="33"/>
      <c r="U141" s="33"/>
      <c r="V141" s="33"/>
      <c r="W141" s="32">
        <f>101886.69</f>
        <v>101886.69</v>
      </c>
      <c r="X141" s="32"/>
    </row>
    <row r="142" spans="1:24" s="1" customFormat="1" ht="14.1" customHeight="1">
      <c r="A142" s="29" t="s">
        <v>126</v>
      </c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30" t="s">
        <v>84</v>
      </c>
      <c r="M142" s="30"/>
      <c r="N142" s="30" t="s">
        <v>201</v>
      </c>
      <c r="O142" s="30"/>
      <c r="P142" s="31">
        <f>49500</f>
        <v>49500</v>
      </c>
      <c r="Q142" s="31"/>
      <c r="R142" s="31"/>
      <c r="S142" s="33" t="s">
        <v>72</v>
      </c>
      <c r="T142" s="33"/>
      <c r="U142" s="33"/>
      <c r="V142" s="33"/>
      <c r="W142" s="32">
        <f>49500</f>
        <v>49500</v>
      </c>
      <c r="X142" s="32"/>
    </row>
    <row r="143" spans="1:24" s="1" customFormat="1" ht="14.1" customHeight="1">
      <c r="A143" s="29" t="s">
        <v>96</v>
      </c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30" t="s">
        <v>84</v>
      </c>
      <c r="M143" s="30"/>
      <c r="N143" s="30" t="s">
        <v>202</v>
      </c>
      <c r="O143" s="30"/>
      <c r="P143" s="31">
        <f>57090</f>
        <v>57090</v>
      </c>
      <c r="Q143" s="31"/>
      <c r="R143" s="31"/>
      <c r="S143" s="33" t="s">
        <v>72</v>
      </c>
      <c r="T143" s="33"/>
      <c r="U143" s="33"/>
      <c r="V143" s="33"/>
      <c r="W143" s="32">
        <f>57090</f>
        <v>57090</v>
      </c>
      <c r="X143" s="32"/>
    </row>
    <row r="144" spans="1:24" s="1" customFormat="1" ht="14.1" customHeight="1">
      <c r="A144" s="29" t="s">
        <v>98</v>
      </c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30" t="s">
        <v>84</v>
      </c>
      <c r="M144" s="30"/>
      <c r="N144" s="30" t="s">
        <v>203</v>
      </c>
      <c r="O144" s="30"/>
      <c r="P144" s="31">
        <f>10248</f>
        <v>10248</v>
      </c>
      <c r="Q144" s="31"/>
      <c r="R144" s="31"/>
      <c r="S144" s="33" t="s">
        <v>72</v>
      </c>
      <c r="T144" s="33"/>
      <c r="U144" s="33"/>
      <c r="V144" s="33"/>
      <c r="W144" s="32">
        <f>10248</f>
        <v>10248</v>
      </c>
      <c r="X144" s="32"/>
    </row>
    <row r="145" spans="1:24" s="1" customFormat="1" ht="14.1" customHeight="1">
      <c r="A145" s="29" t="s">
        <v>98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30" t="s">
        <v>84</v>
      </c>
      <c r="M145" s="30"/>
      <c r="N145" s="30" t="s">
        <v>204</v>
      </c>
      <c r="O145" s="30"/>
      <c r="P145" s="31">
        <f>5000</f>
        <v>5000</v>
      </c>
      <c r="Q145" s="31"/>
      <c r="R145" s="31"/>
      <c r="S145" s="31">
        <f>2.45</f>
        <v>2.4500000000000002</v>
      </c>
      <c r="T145" s="31"/>
      <c r="U145" s="31"/>
      <c r="V145" s="31"/>
      <c r="W145" s="32">
        <f>4997.55</f>
        <v>4997.55</v>
      </c>
      <c r="X145" s="32"/>
    </row>
    <row r="146" spans="1:24" s="1" customFormat="1" ht="14.1" customHeight="1">
      <c r="A146" s="29" t="s">
        <v>85</v>
      </c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30" t="s">
        <v>84</v>
      </c>
      <c r="M146" s="30"/>
      <c r="N146" s="30" t="s">
        <v>205</v>
      </c>
      <c r="O146" s="30"/>
      <c r="P146" s="31">
        <f>59677.4</f>
        <v>59677.4</v>
      </c>
      <c r="Q146" s="31"/>
      <c r="R146" s="31"/>
      <c r="S146" s="33" t="s">
        <v>72</v>
      </c>
      <c r="T146" s="33"/>
      <c r="U146" s="33"/>
      <c r="V146" s="33"/>
      <c r="W146" s="32">
        <f>59677.4</f>
        <v>59677.4</v>
      </c>
      <c r="X146" s="32"/>
    </row>
    <row r="147" spans="1:24" s="1" customFormat="1" ht="14.1" customHeight="1">
      <c r="A147" s="29" t="s">
        <v>87</v>
      </c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30" t="s">
        <v>84</v>
      </c>
      <c r="M147" s="30"/>
      <c r="N147" s="30" t="s">
        <v>206</v>
      </c>
      <c r="O147" s="30"/>
      <c r="P147" s="31">
        <f>18022.6</f>
        <v>18022.599999999999</v>
      </c>
      <c r="Q147" s="31"/>
      <c r="R147" s="31"/>
      <c r="S147" s="33" t="s">
        <v>72</v>
      </c>
      <c r="T147" s="33"/>
      <c r="U147" s="33"/>
      <c r="V147" s="33"/>
      <c r="W147" s="32">
        <f>18022.6</f>
        <v>18022.599999999999</v>
      </c>
      <c r="X147" s="32"/>
    </row>
    <row r="148" spans="1:24" s="1" customFormat="1" ht="14.1" customHeight="1">
      <c r="A148" s="29" t="s">
        <v>134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30" t="s">
        <v>84</v>
      </c>
      <c r="M148" s="30"/>
      <c r="N148" s="30" t="s">
        <v>207</v>
      </c>
      <c r="O148" s="30"/>
      <c r="P148" s="31">
        <f>50000</f>
        <v>50000</v>
      </c>
      <c r="Q148" s="31"/>
      <c r="R148" s="31"/>
      <c r="S148" s="33" t="s">
        <v>72</v>
      </c>
      <c r="T148" s="33"/>
      <c r="U148" s="33"/>
      <c r="V148" s="33"/>
      <c r="W148" s="32">
        <f>50000</f>
        <v>50000</v>
      </c>
      <c r="X148" s="32"/>
    </row>
    <row r="149" spans="1:24" s="1" customFormat="1" ht="14.1" customHeight="1">
      <c r="A149" s="29" t="s">
        <v>89</v>
      </c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30" t="s">
        <v>84</v>
      </c>
      <c r="M149" s="30"/>
      <c r="N149" s="30" t="s">
        <v>208</v>
      </c>
      <c r="O149" s="30"/>
      <c r="P149" s="31">
        <f>120000</f>
        <v>120000</v>
      </c>
      <c r="Q149" s="31"/>
      <c r="R149" s="31"/>
      <c r="S149" s="33" t="s">
        <v>72</v>
      </c>
      <c r="T149" s="33"/>
      <c r="U149" s="33"/>
      <c r="V149" s="33"/>
      <c r="W149" s="32">
        <f>120000</f>
        <v>120000</v>
      </c>
      <c r="X149" s="32"/>
    </row>
    <row r="150" spans="1:24" s="1" customFormat="1" ht="14.1" customHeight="1">
      <c r="A150" s="29" t="s">
        <v>98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30" t="s">
        <v>84</v>
      </c>
      <c r="M150" s="30"/>
      <c r="N150" s="30" t="s">
        <v>209</v>
      </c>
      <c r="O150" s="30"/>
      <c r="P150" s="31">
        <f>120000</f>
        <v>120000</v>
      </c>
      <c r="Q150" s="31"/>
      <c r="R150" s="31"/>
      <c r="S150" s="33" t="s">
        <v>72</v>
      </c>
      <c r="T150" s="33"/>
      <c r="U150" s="33"/>
      <c r="V150" s="33"/>
      <c r="W150" s="32">
        <f>120000</f>
        <v>120000</v>
      </c>
      <c r="X150" s="32"/>
    </row>
    <row r="151" spans="1:24" s="1" customFormat="1" ht="14.1" customHeight="1">
      <c r="A151" s="29" t="s">
        <v>126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30" t="s">
        <v>84</v>
      </c>
      <c r="M151" s="30"/>
      <c r="N151" s="30" t="s">
        <v>210</v>
      </c>
      <c r="O151" s="30"/>
      <c r="P151" s="31">
        <f>135000</f>
        <v>135000</v>
      </c>
      <c r="Q151" s="31"/>
      <c r="R151" s="31"/>
      <c r="S151" s="33" t="s">
        <v>72</v>
      </c>
      <c r="T151" s="33"/>
      <c r="U151" s="33"/>
      <c r="V151" s="33"/>
      <c r="W151" s="32">
        <f>135000</f>
        <v>135000</v>
      </c>
      <c r="X151" s="32"/>
    </row>
    <row r="152" spans="1:24" s="1" customFormat="1" ht="14.1" customHeight="1">
      <c r="A152" s="29" t="s">
        <v>96</v>
      </c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30" t="s">
        <v>84</v>
      </c>
      <c r="M152" s="30"/>
      <c r="N152" s="30" t="s">
        <v>211</v>
      </c>
      <c r="O152" s="30"/>
      <c r="P152" s="31">
        <f>100000</f>
        <v>100000</v>
      </c>
      <c r="Q152" s="31"/>
      <c r="R152" s="31"/>
      <c r="S152" s="33" t="s">
        <v>72</v>
      </c>
      <c r="T152" s="33"/>
      <c r="U152" s="33"/>
      <c r="V152" s="33"/>
      <c r="W152" s="32">
        <f>100000</f>
        <v>100000</v>
      </c>
      <c r="X152" s="32"/>
    </row>
    <row r="153" spans="1:24" s="1" customFormat="1" ht="14.1" customHeight="1">
      <c r="A153" s="29" t="s">
        <v>212</v>
      </c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30" t="s">
        <v>84</v>
      </c>
      <c r="M153" s="30"/>
      <c r="N153" s="30" t="s">
        <v>213</v>
      </c>
      <c r="O153" s="30"/>
      <c r="P153" s="31">
        <f>95000</f>
        <v>95000</v>
      </c>
      <c r="Q153" s="31"/>
      <c r="R153" s="31"/>
      <c r="S153" s="33" t="s">
        <v>72</v>
      </c>
      <c r="T153" s="33"/>
      <c r="U153" s="33"/>
      <c r="V153" s="33"/>
      <c r="W153" s="32">
        <f>95000</f>
        <v>95000</v>
      </c>
      <c r="X153" s="32"/>
    </row>
    <row r="154" spans="1:24" s="1" customFormat="1" ht="14.1" customHeight="1">
      <c r="A154" s="29" t="s">
        <v>85</v>
      </c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30" t="s">
        <v>84</v>
      </c>
      <c r="M154" s="30"/>
      <c r="N154" s="30" t="s">
        <v>214</v>
      </c>
      <c r="O154" s="30"/>
      <c r="P154" s="31">
        <f>3538926.19</f>
        <v>3538926.19</v>
      </c>
      <c r="Q154" s="31"/>
      <c r="R154" s="31"/>
      <c r="S154" s="31">
        <f>326994.82</f>
        <v>326994.82</v>
      </c>
      <c r="T154" s="31"/>
      <c r="U154" s="31"/>
      <c r="V154" s="31"/>
      <c r="W154" s="32">
        <f>3211931.37</f>
        <v>3211931.37</v>
      </c>
      <c r="X154" s="32"/>
    </row>
    <row r="155" spans="1:24" s="1" customFormat="1" ht="14.1" customHeight="1">
      <c r="A155" s="29" t="s">
        <v>87</v>
      </c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30" t="s">
        <v>84</v>
      </c>
      <c r="M155" s="30"/>
      <c r="N155" s="30" t="s">
        <v>215</v>
      </c>
      <c r="O155" s="30"/>
      <c r="P155" s="31">
        <f>1068755.71</f>
        <v>1068755.71</v>
      </c>
      <c r="Q155" s="31"/>
      <c r="R155" s="31"/>
      <c r="S155" s="31">
        <f>73703.2</f>
        <v>73703.199999999997</v>
      </c>
      <c r="T155" s="31"/>
      <c r="U155" s="31"/>
      <c r="V155" s="31"/>
      <c r="W155" s="32">
        <f>995052.51</f>
        <v>995052.51</v>
      </c>
      <c r="X155" s="32"/>
    </row>
    <row r="156" spans="1:24" s="1" customFormat="1" ht="14.1" customHeight="1">
      <c r="A156" s="29" t="s">
        <v>105</v>
      </c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30" t="s">
        <v>84</v>
      </c>
      <c r="M156" s="30"/>
      <c r="N156" s="30" t="s">
        <v>216</v>
      </c>
      <c r="O156" s="30"/>
      <c r="P156" s="31">
        <f>2100</f>
        <v>2100</v>
      </c>
      <c r="Q156" s="31"/>
      <c r="R156" s="31"/>
      <c r="S156" s="33" t="s">
        <v>72</v>
      </c>
      <c r="T156" s="33"/>
      <c r="U156" s="33"/>
      <c r="V156" s="33"/>
      <c r="W156" s="32">
        <f>2100</f>
        <v>2100</v>
      </c>
      <c r="X156" s="32"/>
    </row>
    <row r="157" spans="1:24" s="1" customFormat="1" ht="14.1" customHeight="1">
      <c r="A157" s="29" t="s">
        <v>134</v>
      </c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30" t="s">
        <v>84</v>
      </c>
      <c r="M157" s="30"/>
      <c r="N157" s="30" t="s">
        <v>217</v>
      </c>
      <c r="O157" s="30"/>
      <c r="P157" s="31">
        <f>5850</f>
        <v>5850</v>
      </c>
      <c r="Q157" s="31"/>
      <c r="R157" s="31"/>
      <c r="S157" s="33" t="s">
        <v>72</v>
      </c>
      <c r="T157" s="33"/>
      <c r="U157" s="33"/>
      <c r="V157" s="33"/>
      <c r="W157" s="32">
        <f>5850</f>
        <v>5850</v>
      </c>
      <c r="X157" s="32"/>
    </row>
    <row r="158" spans="1:24" s="1" customFormat="1" ht="14.1" customHeight="1">
      <c r="A158" s="29" t="s">
        <v>89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30" t="s">
        <v>84</v>
      </c>
      <c r="M158" s="30"/>
      <c r="N158" s="30" t="s">
        <v>218</v>
      </c>
      <c r="O158" s="30"/>
      <c r="P158" s="31">
        <f>18000</f>
        <v>18000</v>
      </c>
      <c r="Q158" s="31"/>
      <c r="R158" s="31"/>
      <c r="S158" s="33" t="s">
        <v>72</v>
      </c>
      <c r="T158" s="33"/>
      <c r="U158" s="33"/>
      <c r="V158" s="33"/>
      <c r="W158" s="32">
        <f>18000</f>
        <v>18000</v>
      </c>
      <c r="X158" s="32"/>
    </row>
    <row r="159" spans="1:24" s="1" customFormat="1" ht="14.1" customHeight="1">
      <c r="A159" s="29" t="s">
        <v>91</v>
      </c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30" t="s">
        <v>84</v>
      </c>
      <c r="M159" s="30"/>
      <c r="N159" s="30" t="s">
        <v>219</v>
      </c>
      <c r="O159" s="30"/>
      <c r="P159" s="31">
        <f>105821.2</f>
        <v>105821.2</v>
      </c>
      <c r="Q159" s="31"/>
      <c r="R159" s="31"/>
      <c r="S159" s="31">
        <f>10923.57</f>
        <v>10923.57</v>
      </c>
      <c r="T159" s="31"/>
      <c r="U159" s="31"/>
      <c r="V159" s="31"/>
      <c r="W159" s="32">
        <f>94897.63</f>
        <v>94897.63</v>
      </c>
      <c r="X159" s="32"/>
    </row>
    <row r="160" spans="1:24" s="1" customFormat="1" ht="14.1" customHeight="1">
      <c r="A160" s="29" t="s">
        <v>109</v>
      </c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30" t="s">
        <v>84</v>
      </c>
      <c r="M160" s="30"/>
      <c r="N160" s="30" t="s">
        <v>220</v>
      </c>
      <c r="O160" s="30"/>
      <c r="P160" s="31">
        <f>204503.15</f>
        <v>204503.15</v>
      </c>
      <c r="Q160" s="31"/>
      <c r="R160" s="31"/>
      <c r="S160" s="31">
        <f>38636.38</f>
        <v>38636.379999999997</v>
      </c>
      <c r="T160" s="31"/>
      <c r="U160" s="31"/>
      <c r="V160" s="31"/>
      <c r="W160" s="32">
        <f>165866.77</f>
        <v>165866.76999999999</v>
      </c>
      <c r="X160" s="32"/>
    </row>
    <row r="161" spans="1:24" s="1" customFormat="1" ht="14.1" customHeight="1">
      <c r="A161" s="29" t="s">
        <v>93</v>
      </c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30" t="s">
        <v>84</v>
      </c>
      <c r="M161" s="30"/>
      <c r="N161" s="30" t="s">
        <v>221</v>
      </c>
      <c r="O161" s="30"/>
      <c r="P161" s="31">
        <f>367088.26</f>
        <v>367088.26</v>
      </c>
      <c r="Q161" s="31"/>
      <c r="R161" s="31"/>
      <c r="S161" s="31">
        <f>17667.28</f>
        <v>17667.28</v>
      </c>
      <c r="T161" s="31"/>
      <c r="U161" s="31"/>
      <c r="V161" s="31"/>
      <c r="W161" s="32">
        <f>349420.98</f>
        <v>349420.98</v>
      </c>
      <c r="X161" s="32"/>
    </row>
    <row r="162" spans="1:24" s="1" customFormat="1" ht="14.1" customHeight="1">
      <c r="A162" s="29" t="s">
        <v>89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30" t="s">
        <v>84</v>
      </c>
      <c r="M162" s="30"/>
      <c r="N162" s="30" t="s">
        <v>222</v>
      </c>
      <c r="O162" s="30"/>
      <c r="P162" s="31">
        <f>580800</f>
        <v>580800</v>
      </c>
      <c r="Q162" s="31"/>
      <c r="R162" s="31"/>
      <c r="S162" s="31">
        <f>32061.25</f>
        <v>32061.25</v>
      </c>
      <c r="T162" s="31"/>
      <c r="U162" s="31"/>
      <c r="V162" s="31"/>
      <c r="W162" s="32">
        <f>548738.75</f>
        <v>548738.75</v>
      </c>
      <c r="X162" s="32"/>
    </row>
    <row r="163" spans="1:24" s="1" customFormat="1" ht="14.1" customHeight="1">
      <c r="A163" s="29" t="s">
        <v>98</v>
      </c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30" t="s">
        <v>84</v>
      </c>
      <c r="M163" s="30"/>
      <c r="N163" s="30" t="s">
        <v>223</v>
      </c>
      <c r="O163" s="30"/>
      <c r="P163" s="31">
        <f>87000</f>
        <v>87000</v>
      </c>
      <c r="Q163" s="31"/>
      <c r="R163" s="31"/>
      <c r="S163" s="31">
        <f>20217</f>
        <v>20217</v>
      </c>
      <c r="T163" s="31"/>
      <c r="U163" s="31"/>
      <c r="V163" s="31"/>
      <c r="W163" s="32">
        <f>66783</f>
        <v>66783</v>
      </c>
      <c r="X163" s="32"/>
    </row>
    <row r="164" spans="1:24" s="1" customFormat="1" ht="14.1" customHeight="1">
      <c r="A164" s="29" t="s">
        <v>126</v>
      </c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30" t="s">
        <v>84</v>
      </c>
      <c r="M164" s="30"/>
      <c r="N164" s="30" t="s">
        <v>224</v>
      </c>
      <c r="O164" s="30"/>
      <c r="P164" s="31">
        <f>326850</f>
        <v>326850</v>
      </c>
      <c r="Q164" s="31"/>
      <c r="R164" s="31"/>
      <c r="S164" s="31">
        <f>31339</f>
        <v>31339</v>
      </c>
      <c r="T164" s="31"/>
      <c r="U164" s="31"/>
      <c r="V164" s="31"/>
      <c r="W164" s="32">
        <f>295511</f>
        <v>295511</v>
      </c>
      <c r="X164" s="32"/>
    </row>
    <row r="165" spans="1:24" s="1" customFormat="1" ht="14.1" customHeight="1">
      <c r="A165" s="29" t="s">
        <v>96</v>
      </c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30" t="s">
        <v>84</v>
      </c>
      <c r="M165" s="30"/>
      <c r="N165" s="30" t="s">
        <v>225</v>
      </c>
      <c r="O165" s="30"/>
      <c r="P165" s="31">
        <f>138395</f>
        <v>138395</v>
      </c>
      <c r="Q165" s="31"/>
      <c r="R165" s="31"/>
      <c r="S165" s="31">
        <f>12739.2</f>
        <v>12739.2</v>
      </c>
      <c r="T165" s="31"/>
      <c r="U165" s="31"/>
      <c r="V165" s="31"/>
      <c r="W165" s="32">
        <f>125655.8</f>
        <v>125655.8</v>
      </c>
      <c r="X165" s="32"/>
    </row>
    <row r="166" spans="1:24" s="1" customFormat="1" ht="14.1" customHeight="1">
      <c r="A166" s="29" t="s">
        <v>98</v>
      </c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30" t="s">
        <v>84</v>
      </c>
      <c r="M166" s="30"/>
      <c r="N166" s="30" t="s">
        <v>226</v>
      </c>
      <c r="O166" s="30"/>
      <c r="P166" s="31">
        <f>37488</f>
        <v>37488</v>
      </c>
      <c r="Q166" s="31"/>
      <c r="R166" s="31"/>
      <c r="S166" s="33" t="s">
        <v>72</v>
      </c>
      <c r="T166" s="33"/>
      <c r="U166" s="33"/>
      <c r="V166" s="33"/>
      <c r="W166" s="32">
        <f>37488</f>
        <v>37488</v>
      </c>
      <c r="X166" s="32"/>
    </row>
    <row r="167" spans="1:24" s="1" customFormat="1" ht="14.1" customHeight="1">
      <c r="A167" s="29" t="s">
        <v>98</v>
      </c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30" t="s">
        <v>84</v>
      </c>
      <c r="M167" s="30"/>
      <c r="N167" s="30" t="s">
        <v>227</v>
      </c>
      <c r="O167" s="30"/>
      <c r="P167" s="31">
        <f>11200</f>
        <v>11200</v>
      </c>
      <c r="Q167" s="31"/>
      <c r="R167" s="31"/>
      <c r="S167" s="31">
        <f>1419.37</f>
        <v>1419.37</v>
      </c>
      <c r="T167" s="31"/>
      <c r="U167" s="31"/>
      <c r="V167" s="31"/>
      <c r="W167" s="32">
        <f>9780.63</f>
        <v>9780.6299999999992</v>
      </c>
      <c r="X167" s="32"/>
    </row>
    <row r="168" spans="1:24" s="1" customFormat="1" ht="14.1" customHeight="1">
      <c r="A168" s="29" t="s">
        <v>142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30" t="s">
        <v>84</v>
      </c>
      <c r="M168" s="30"/>
      <c r="N168" s="30" t="s">
        <v>228</v>
      </c>
      <c r="O168" s="30"/>
      <c r="P168" s="31">
        <f>9331049.21</f>
        <v>9331049.2100000009</v>
      </c>
      <c r="Q168" s="31"/>
      <c r="R168" s="31"/>
      <c r="S168" s="31">
        <f>820000</f>
        <v>820000</v>
      </c>
      <c r="T168" s="31"/>
      <c r="U168" s="31"/>
      <c r="V168" s="31"/>
      <c r="W168" s="32">
        <f>8511049.21</f>
        <v>8511049.2100000009</v>
      </c>
      <c r="X168" s="32"/>
    </row>
    <row r="169" spans="1:24" s="1" customFormat="1" ht="14.1" customHeight="1">
      <c r="A169" s="29" t="s">
        <v>142</v>
      </c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30" t="s">
        <v>84</v>
      </c>
      <c r="M169" s="30"/>
      <c r="N169" s="30" t="s">
        <v>229</v>
      </c>
      <c r="O169" s="30"/>
      <c r="P169" s="31">
        <f>4512217.17</f>
        <v>4512217.17</v>
      </c>
      <c r="Q169" s="31"/>
      <c r="R169" s="31"/>
      <c r="S169" s="31">
        <f>550000</f>
        <v>550000</v>
      </c>
      <c r="T169" s="31"/>
      <c r="U169" s="31"/>
      <c r="V169" s="31"/>
      <c r="W169" s="32">
        <f>3962217.17</f>
        <v>3962217.17</v>
      </c>
      <c r="X169" s="32"/>
    </row>
    <row r="170" spans="1:24" s="1" customFormat="1" ht="14.1" customHeight="1">
      <c r="A170" s="29" t="s">
        <v>142</v>
      </c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30" t="s">
        <v>84</v>
      </c>
      <c r="M170" s="30"/>
      <c r="N170" s="30" t="s">
        <v>230</v>
      </c>
      <c r="O170" s="30"/>
      <c r="P170" s="31">
        <f>300000</f>
        <v>300000</v>
      </c>
      <c r="Q170" s="31"/>
      <c r="R170" s="31"/>
      <c r="S170" s="33" t="s">
        <v>72</v>
      </c>
      <c r="T170" s="33"/>
      <c r="U170" s="33"/>
      <c r="V170" s="33"/>
      <c r="W170" s="32">
        <f>300000</f>
        <v>300000</v>
      </c>
      <c r="X170" s="32"/>
    </row>
    <row r="171" spans="1:24" s="1" customFormat="1" ht="14.1" customHeight="1">
      <c r="A171" s="29" t="s">
        <v>93</v>
      </c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30" t="s">
        <v>84</v>
      </c>
      <c r="M171" s="30"/>
      <c r="N171" s="30" t="s">
        <v>231</v>
      </c>
      <c r="O171" s="30"/>
      <c r="P171" s="31">
        <f>1285703</f>
        <v>1285703</v>
      </c>
      <c r="Q171" s="31"/>
      <c r="R171" s="31"/>
      <c r="S171" s="33" t="s">
        <v>72</v>
      </c>
      <c r="T171" s="33"/>
      <c r="U171" s="33"/>
      <c r="V171" s="33"/>
      <c r="W171" s="32">
        <f>1285703</f>
        <v>1285703</v>
      </c>
      <c r="X171" s="32"/>
    </row>
    <row r="172" spans="1:24" s="1" customFormat="1" ht="14.1" customHeight="1">
      <c r="A172" s="29" t="s">
        <v>85</v>
      </c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30" t="s">
        <v>84</v>
      </c>
      <c r="M172" s="30"/>
      <c r="N172" s="30" t="s">
        <v>232</v>
      </c>
      <c r="O172" s="30"/>
      <c r="P172" s="31">
        <f>71966.2</f>
        <v>71966.2</v>
      </c>
      <c r="Q172" s="31"/>
      <c r="R172" s="31"/>
      <c r="S172" s="33" t="s">
        <v>72</v>
      </c>
      <c r="T172" s="33"/>
      <c r="U172" s="33"/>
      <c r="V172" s="33"/>
      <c r="W172" s="32">
        <f>71966.2</f>
        <v>71966.2</v>
      </c>
      <c r="X172" s="32"/>
    </row>
    <row r="173" spans="1:24" s="1" customFormat="1" ht="14.1" customHeight="1">
      <c r="A173" s="29" t="s">
        <v>87</v>
      </c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30" t="s">
        <v>84</v>
      </c>
      <c r="M173" s="30"/>
      <c r="N173" s="30" t="s">
        <v>233</v>
      </c>
      <c r="O173" s="30"/>
      <c r="P173" s="31">
        <f>21733.8</f>
        <v>21733.8</v>
      </c>
      <c r="Q173" s="31"/>
      <c r="R173" s="31"/>
      <c r="S173" s="33" t="s">
        <v>72</v>
      </c>
      <c r="T173" s="33"/>
      <c r="U173" s="33"/>
      <c r="V173" s="33"/>
      <c r="W173" s="32">
        <f>21733.8</f>
        <v>21733.8</v>
      </c>
      <c r="X173" s="32"/>
    </row>
    <row r="174" spans="1:24" s="1" customFormat="1" ht="14.1" customHeight="1">
      <c r="A174" s="29" t="s">
        <v>142</v>
      </c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30" t="s">
        <v>84</v>
      </c>
      <c r="M174" s="30"/>
      <c r="N174" s="30" t="s">
        <v>234</v>
      </c>
      <c r="O174" s="30"/>
      <c r="P174" s="31">
        <f>0</f>
        <v>0</v>
      </c>
      <c r="Q174" s="31"/>
      <c r="R174" s="31"/>
      <c r="S174" s="33" t="s">
        <v>72</v>
      </c>
      <c r="T174" s="33"/>
      <c r="U174" s="33"/>
      <c r="V174" s="33"/>
      <c r="W174" s="32">
        <f>0</f>
        <v>0</v>
      </c>
      <c r="X174" s="32"/>
    </row>
    <row r="175" spans="1:24" s="1" customFormat="1" ht="14.1" customHeight="1">
      <c r="A175" s="29" t="s">
        <v>142</v>
      </c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30" t="s">
        <v>84</v>
      </c>
      <c r="M175" s="30"/>
      <c r="N175" s="30" t="s">
        <v>235</v>
      </c>
      <c r="O175" s="30"/>
      <c r="P175" s="31">
        <f>46872</f>
        <v>46872</v>
      </c>
      <c r="Q175" s="31"/>
      <c r="R175" s="31"/>
      <c r="S175" s="33" t="s">
        <v>72</v>
      </c>
      <c r="T175" s="33"/>
      <c r="U175" s="33"/>
      <c r="V175" s="33"/>
      <c r="W175" s="32">
        <f>46872</f>
        <v>46872</v>
      </c>
      <c r="X175" s="32"/>
    </row>
    <row r="176" spans="1:24" s="1" customFormat="1" ht="14.1" customHeight="1">
      <c r="A176" s="29" t="s">
        <v>142</v>
      </c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30" t="s">
        <v>84</v>
      </c>
      <c r="M176" s="30"/>
      <c r="N176" s="30" t="s">
        <v>236</v>
      </c>
      <c r="O176" s="30"/>
      <c r="P176" s="31">
        <f>2487904.4</f>
        <v>2487904.4</v>
      </c>
      <c r="Q176" s="31"/>
      <c r="R176" s="31"/>
      <c r="S176" s="33" t="s">
        <v>72</v>
      </c>
      <c r="T176" s="33"/>
      <c r="U176" s="33"/>
      <c r="V176" s="33"/>
      <c r="W176" s="32">
        <f>2487904.4</f>
        <v>2487904.4</v>
      </c>
      <c r="X176" s="32"/>
    </row>
    <row r="177" spans="1:24" s="1" customFormat="1" ht="14.1" customHeight="1">
      <c r="A177" s="29" t="s">
        <v>212</v>
      </c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30" t="s">
        <v>84</v>
      </c>
      <c r="M177" s="30"/>
      <c r="N177" s="30" t="s">
        <v>237</v>
      </c>
      <c r="O177" s="30"/>
      <c r="P177" s="31">
        <f>0</f>
        <v>0</v>
      </c>
      <c r="Q177" s="31"/>
      <c r="R177" s="31"/>
      <c r="S177" s="33" t="s">
        <v>72</v>
      </c>
      <c r="T177" s="33"/>
      <c r="U177" s="33"/>
      <c r="V177" s="33"/>
      <c r="W177" s="32">
        <f>0</f>
        <v>0</v>
      </c>
      <c r="X177" s="32"/>
    </row>
    <row r="178" spans="1:24" s="1" customFormat="1" ht="14.1" customHeight="1">
      <c r="A178" s="29" t="s">
        <v>212</v>
      </c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30" t="s">
        <v>84</v>
      </c>
      <c r="M178" s="30"/>
      <c r="N178" s="30" t="s">
        <v>238</v>
      </c>
      <c r="O178" s="30"/>
      <c r="P178" s="31">
        <f>751000</f>
        <v>751000</v>
      </c>
      <c r="Q178" s="31"/>
      <c r="R178" s="31"/>
      <c r="S178" s="33" t="s">
        <v>72</v>
      </c>
      <c r="T178" s="33"/>
      <c r="U178" s="33"/>
      <c r="V178" s="33"/>
      <c r="W178" s="32">
        <f>751000</f>
        <v>751000</v>
      </c>
      <c r="X178" s="32"/>
    </row>
    <row r="179" spans="1:24" s="1" customFormat="1" ht="14.1" customHeight="1">
      <c r="A179" s="29" t="s">
        <v>212</v>
      </c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30" t="s">
        <v>84</v>
      </c>
      <c r="M179" s="30"/>
      <c r="N179" s="30" t="s">
        <v>239</v>
      </c>
      <c r="O179" s="30"/>
      <c r="P179" s="31">
        <f>0</f>
        <v>0</v>
      </c>
      <c r="Q179" s="31"/>
      <c r="R179" s="31"/>
      <c r="S179" s="33" t="s">
        <v>72</v>
      </c>
      <c r="T179" s="33"/>
      <c r="U179" s="33"/>
      <c r="V179" s="33"/>
      <c r="W179" s="32">
        <f>0</f>
        <v>0</v>
      </c>
      <c r="X179" s="32"/>
    </row>
    <row r="180" spans="1:24" s="1" customFormat="1" ht="14.1" customHeight="1">
      <c r="A180" s="29" t="s">
        <v>212</v>
      </c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30" t="s">
        <v>84</v>
      </c>
      <c r="M180" s="30"/>
      <c r="N180" s="30" t="s">
        <v>240</v>
      </c>
      <c r="O180" s="30"/>
      <c r="P180" s="31">
        <f>350000</f>
        <v>350000</v>
      </c>
      <c r="Q180" s="31"/>
      <c r="R180" s="31"/>
      <c r="S180" s="31">
        <f>46000</f>
        <v>46000</v>
      </c>
      <c r="T180" s="31"/>
      <c r="U180" s="31"/>
      <c r="V180" s="31"/>
      <c r="W180" s="32">
        <f>304000</f>
        <v>304000</v>
      </c>
      <c r="X180" s="32"/>
    </row>
    <row r="181" spans="1:24" s="1" customFormat="1" ht="14.1" customHeight="1">
      <c r="A181" s="29" t="s">
        <v>212</v>
      </c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30" t="s">
        <v>84</v>
      </c>
      <c r="M181" s="30"/>
      <c r="N181" s="30" t="s">
        <v>241</v>
      </c>
      <c r="O181" s="30"/>
      <c r="P181" s="31">
        <f>0</f>
        <v>0</v>
      </c>
      <c r="Q181" s="31"/>
      <c r="R181" s="31"/>
      <c r="S181" s="33" t="s">
        <v>72</v>
      </c>
      <c r="T181" s="33"/>
      <c r="U181" s="33"/>
      <c r="V181" s="33"/>
      <c r="W181" s="32">
        <f>0</f>
        <v>0</v>
      </c>
      <c r="X181" s="32"/>
    </row>
    <row r="182" spans="1:24" s="1" customFormat="1" ht="14.1" customHeight="1">
      <c r="A182" s="29" t="s">
        <v>212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30" t="s">
        <v>84</v>
      </c>
      <c r="M182" s="30"/>
      <c r="N182" s="30" t="s">
        <v>242</v>
      </c>
      <c r="O182" s="30"/>
      <c r="P182" s="31">
        <f>360000</f>
        <v>360000</v>
      </c>
      <c r="Q182" s="31"/>
      <c r="R182" s="31"/>
      <c r="S182" s="33" t="s">
        <v>72</v>
      </c>
      <c r="T182" s="33"/>
      <c r="U182" s="33"/>
      <c r="V182" s="33"/>
      <c r="W182" s="32">
        <f>360000</f>
        <v>360000</v>
      </c>
      <c r="X182" s="32"/>
    </row>
    <row r="183" spans="1:24" s="1" customFormat="1" ht="14.1" customHeight="1">
      <c r="A183" s="29" t="s">
        <v>98</v>
      </c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30" t="s">
        <v>84</v>
      </c>
      <c r="M183" s="30"/>
      <c r="N183" s="30" t="s">
        <v>243</v>
      </c>
      <c r="O183" s="30"/>
      <c r="P183" s="31">
        <f>50000</f>
        <v>50000</v>
      </c>
      <c r="Q183" s="31"/>
      <c r="R183" s="31"/>
      <c r="S183" s="33" t="s">
        <v>72</v>
      </c>
      <c r="T183" s="33"/>
      <c r="U183" s="33"/>
      <c r="V183" s="33"/>
      <c r="W183" s="32">
        <f>50000</f>
        <v>50000</v>
      </c>
      <c r="X183" s="32"/>
    </row>
    <row r="184" spans="1:24" s="1" customFormat="1" ht="24" customHeight="1">
      <c r="A184" s="29" t="s">
        <v>162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30" t="s">
        <v>84</v>
      </c>
      <c r="M184" s="30"/>
      <c r="N184" s="30" t="s">
        <v>244</v>
      </c>
      <c r="O184" s="30"/>
      <c r="P184" s="31">
        <f>158400</f>
        <v>158400</v>
      </c>
      <c r="Q184" s="31"/>
      <c r="R184" s="31"/>
      <c r="S184" s="31">
        <f>39600</f>
        <v>39600</v>
      </c>
      <c r="T184" s="31"/>
      <c r="U184" s="31"/>
      <c r="V184" s="31"/>
      <c r="W184" s="32">
        <f>118800</f>
        <v>118800</v>
      </c>
      <c r="X184" s="32"/>
    </row>
    <row r="185" spans="1:24" s="1" customFormat="1" ht="14.1" customHeight="1">
      <c r="A185" s="29" t="s">
        <v>142</v>
      </c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30" t="s">
        <v>84</v>
      </c>
      <c r="M185" s="30"/>
      <c r="N185" s="30" t="s">
        <v>245</v>
      </c>
      <c r="O185" s="30"/>
      <c r="P185" s="31">
        <f>9667918.38</f>
        <v>9667918.3800000008</v>
      </c>
      <c r="Q185" s="31"/>
      <c r="R185" s="31"/>
      <c r="S185" s="31">
        <f>752700</f>
        <v>752700</v>
      </c>
      <c r="T185" s="31"/>
      <c r="U185" s="31"/>
      <c r="V185" s="31"/>
      <c r="W185" s="32">
        <f>8915218.38</f>
        <v>8915218.3800000008</v>
      </c>
      <c r="X185" s="32"/>
    </row>
    <row r="186" spans="1:24" s="1" customFormat="1" ht="14.1" customHeight="1">
      <c r="A186" s="29" t="s">
        <v>246</v>
      </c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30" t="s">
        <v>84</v>
      </c>
      <c r="M186" s="30"/>
      <c r="N186" s="30" t="s">
        <v>247</v>
      </c>
      <c r="O186" s="30"/>
      <c r="P186" s="31">
        <f>2732000</f>
        <v>2732000</v>
      </c>
      <c r="Q186" s="31"/>
      <c r="R186" s="31"/>
      <c r="S186" s="31">
        <f>257724.93</f>
        <v>257724.93</v>
      </c>
      <c r="T186" s="31"/>
      <c r="U186" s="31"/>
      <c r="V186" s="31"/>
      <c r="W186" s="32">
        <f>2474275.07</f>
        <v>2474275.0699999998</v>
      </c>
      <c r="X186" s="32"/>
    </row>
    <row r="187" spans="1:24" s="1" customFormat="1" ht="15" customHeight="1">
      <c r="A187" s="34" t="s">
        <v>248</v>
      </c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5" t="s">
        <v>249</v>
      </c>
      <c r="M187" s="35"/>
      <c r="N187" s="35" t="s">
        <v>35</v>
      </c>
      <c r="O187" s="35"/>
      <c r="P187" s="36">
        <f>-15339146.14</f>
        <v>-15339146.140000001</v>
      </c>
      <c r="Q187" s="36"/>
      <c r="R187" s="36"/>
      <c r="S187" s="36">
        <f>12254215.54</f>
        <v>12254215.539999999</v>
      </c>
      <c r="T187" s="36"/>
      <c r="U187" s="36"/>
      <c r="V187" s="36"/>
      <c r="W187" s="37" t="s">
        <v>35</v>
      </c>
      <c r="X187" s="37"/>
    </row>
    <row r="188" spans="1:24" s="1" customFormat="1" ht="14.1" customHeight="1">
      <c r="A188" s="7" t="s">
        <v>10</v>
      </c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 spans="1:24" s="1" customFormat="1" ht="14.1" customHeight="1">
      <c r="A189" s="12" t="s">
        <v>250</v>
      </c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</row>
    <row r="190" spans="1:24" s="1" customFormat="1" ht="45.95" customHeight="1">
      <c r="A190" s="13" t="s">
        <v>21</v>
      </c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 t="s">
        <v>22</v>
      </c>
      <c r="M190" s="13"/>
      <c r="N190" s="13" t="s">
        <v>251</v>
      </c>
      <c r="O190" s="13"/>
      <c r="P190" s="14" t="s">
        <v>24</v>
      </c>
      <c r="Q190" s="14"/>
      <c r="R190" s="14"/>
      <c r="S190" s="14" t="s">
        <v>25</v>
      </c>
      <c r="T190" s="14"/>
      <c r="U190" s="14"/>
      <c r="V190" s="14"/>
      <c r="W190" s="15" t="s">
        <v>26</v>
      </c>
      <c r="X190" s="15"/>
    </row>
    <row r="191" spans="1:24" s="1" customFormat="1" ht="12.95" customHeight="1">
      <c r="A191" s="16" t="s">
        <v>27</v>
      </c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 t="s">
        <v>28</v>
      </c>
      <c r="M191" s="16"/>
      <c r="N191" s="16" t="s">
        <v>29</v>
      </c>
      <c r="O191" s="16"/>
      <c r="P191" s="17" t="s">
        <v>30</v>
      </c>
      <c r="Q191" s="17"/>
      <c r="R191" s="17"/>
      <c r="S191" s="17" t="s">
        <v>31</v>
      </c>
      <c r="T191" s="17"/>
      <c r="U191" s="17"/>
      <c r="V191" s="17"/>
      <c r="W191" s="18" t="s">
        <v>32</v>
      </c>
      <c r="X191" s="18"/>
    </row>
    <row r="192" spans="1:24" s="1" customFormat="1" ht="14.1" customHeight="1">
      <c r="A192" s="19" t="s">
        <v>252</v>
      </c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20" t="s">
        <v>253</v>
      </c>
      <c r="M192" s="20"/>
      <c r="N192" s="20" t="s">
        <v>35</v>
      </c>
      <c r="O192" s="20"/>
      <c r="P192" s="38">
        <f>15339146.14</f>
        <v>15339146.140000001</v>
      </c>
      <c r="Q192" s="38"/>
      <c r="R192" s="38"/>
      <c r="S192" s="21">
        <f>-12254215.54</f>
        <v>-12254215.539999999</v>
      </c>
      <c r="T192" s="21"/>
      <c r="U192" s="21"/>
      <c r="V192" s="21"/>
      <c r="W192" s="39">
        <f>27593361.68</f>
        <v>27593361.68</v>
      </c>
      <c r="X192" s="39"/>
    </row>
    <row r="193" spans="1:24" s="1" customFormat="1" ht="14.1" customHeight="1">
      <c r="A193" s="40" t="s">
        <v>254</v>
      </c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1" t="s">
        <v>10</v>
      </c>
      <c r="M193" s="41"/>
      <c r="N193" s="41" t="s">
        <v>10</v>
      </c>
      <c r="O193" s="41"/>
      <c r="P193" s="42" t="s">
        <v>10</v>
      </c>
      <c r="Q193" s="42"/>
      <c r="R193" s="42"/>
      <c r="S193" s="43" t="s">
        <v>10</v>
      </c>
      <c r="T193" s="43"/>
      <c r="U193" s="43"/>
      <c r="V193" s="43"/>
      <c r="W193" s="44" t="s">
        <v>10</v>
      </c>
      <c r="X193" s="44"/>
    </row>
    <row r="194" spans="1:24" s="1" customFormat="1" ht="14.1" customHeight="1">
      <c r="A194" s="23" t="s">
        <v>255</v>
      </c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45" t="s">
        <v>256</v>
      </c>
      <c r="M194" s="45"/>
      <c r="N194" s="24" t="s">
        <v>35</v>
      </c>
      <c r="O194" s="24"/>
      <c r="P194" s="46">
        <f>1772518.33</f>
        <v>1772518.33</v>
      </c>
      <c r="Q194" s="46"/>
      <c r="R194" s="46"/>
      <c r="S194" s="27" t="s">
        <v>72</v>
      </c>
      <c r="T194" s="27"/>
      <c r="U194" s="27"/>
      <c r="V194" s="27"/>
      <c r="W194" s="47">
        <f>1772518.33</f>
        <v>1772518.33</v>
      </c>
      <c r="X194" s="47"/>
    </row>
    <row r="195" spans="1:24" s="1" customFormat="1" ht="24" customHeight="1">
      <c r="A195" s="29" t="s">
        <v>257</v>
      </c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30" t="s">
        <v>256</v>
      </c>
      <c r="M195" s="30"/>
      <c r="N195" s="30" t="s">
        <v>258</v>
      </c>
      <c r="O195" s="30"/>
      <c r="P195" s="48">
        <f>16372518.33</f>
        <v>16372518.33</v>
      </c>
      <c r="Q195" s="48"/>
      <c r="R195" s="48"/>
      <c r="S195" s="33" t="s">
        <v>72</v>
      </c>
      <c r="T195" s="33"/>
      <c r="U195" s="33"/>
      <c r="V195" s="33"/>
      <c r="W195" s="49">
        <f>16372518.33</f>
        <v>16372518.33</v>
      </c>
      <c r="X195" s="49"/>
    </row>
    <row r="196" spans="1:24" s="1" customFormat="1" ht="24" customHeight="1">
      <c r="A196" s="29" t="s">
        <v>257</v>
      </c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30" t="s">
        <v>256</v>
      </c>
      <c r="M196" s="30"/>
      <c r="N196" s="30" t="s">
        <v>259</v>
      </c>
      <c r="O196" s="30"/>
      <c r="P196" s="48">
        <f>-14600000</f>
        <v>-14600000</v>
      </c>
      <c r="Q196" s="48"/>
      <c r="R196" s="48"/>
      <c r="S196" s="33" t="s">
        <v>72</v>
      </c>
      <c r="T196" s="33"/>
      <c r="U196" s="33"/>
      <c r="V196" s="33"/>
      <c r="W196" s="49">
        <f>-14600000</f>
        <v>-14600000</v>
      </c>
      <c r="X196" s="49"/>
    </row>
    <row r="197" spans="1:24" s="1" customFormat="1" ht="24" customHeight="1">
      <c r="A197" s="29" t="s">
        <v>260</v>
      </c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30" t="s">
        <v>256</v>
      </c>
      <c r="M197" s="30"/>
      <c r="N197" s="30" t="s">
        <v>261</v>
      </c>
      <c r="O197" s="30"/>
      <c r="P197" s="48">
        <f>-8000000</f>
        <v>-8000000</v>
      </c>
      <c r="Q197" s="48"/>
      <c r="R197" s="48"/>
      <c r="S197" s="33" t="s">
        <v>72</v>
      </c>
      <c r="T197" s="33"/>
      <c r="U197" s="33"/>
      <c r="V197" s="33"/>
      <c r="W197" s="49">
        <f>-8000000</f>
        <v>-8000000</v>
      </c>
      <c r="X197" s="49"/>
    </row>
    <row r="198" spans="1:24" s="1" customFormat="1" ht="24" customHeight="1">
      <c r="A198" s="29" t="s">
        <v>262</v>
      </c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30" t="s">
        <v>256</v>
      </c>
      <c r="M198" s="30"/>
      <c r="N198" s="30" t="s">
        <v>263</v>
      </c>
      <c r="O198" s="30"/>
      <c r="P198" s="48">
        <f>8000000</f>
        <v>8000000</v>
      </c>
      <c r="Q198" s="48"/>
      <c r="R198" s="48"/>
      <c r="S198" s="33" t="s">
        <v>72</v>
      </c>
      <c r="T198" s="33"/>
      <c r="U198" s="33"/>
      <c r="V198" s="33"/>
      <c r="W198" s="49">
        <f>8000000</f>
        <v>8000000</v>
      </c>
      <c r="X198" s="49"/>
    </row>
    <row r="199" spans="1:24" s="1" customFormat="1" ht="0.95" customHeight="1">
      <c r="A199" s="50" t="s">
        <v>10</v>
      </c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</row>
    <row r="200" spans="1:24" s="1" customFormat="1" ht="14.1" customHeight="1">
      <c r="A200" s="29" t="s">
        <v>264</v>
      </c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41" t="s">
        <v>265</v>
      </c>
      <c r="M200" s="41"/>
      <c r="N200" s="41" t="s">
        <v>35</v>
      </c>
      <c r="O200" s="41"/>
      <c r="P200" s="42" t="s">
        <v>72</v>
      </c>
      <c r="Q200" s="42"/>
      <c r="R200" s="42"/>
      <c r="S200" s="33" t="s">
        <v>72</v>
      </c>
      <c r="T200" s="33"/>
      <c r="U200" s="33"/>
      <c r="V200" s="33"/>
      <c r="W200" s="44" t="s">
        <v>72</v>
      </c>
      <c r="X200" s="44"/>
    </row>
    <row r="201" spans="1:24" s="1" customFormat="1" ht="14.1" customHeight="1">
      <c r="A201" s="29" t="s">
        <v>10</v>
      </c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30" t="s">
        <v>265</v>
      </c>
      <c r="M201" s="30"/>
      <c r="N201" s="30" t="s">
        <v>10</v>
      </c>
      <c r="O201" s="30"/>
      <c r="P201" s="51" t="s">
        <v>72</v>
      </c>
      <c r="Q201" s="51"/>
      <c r="R201" s="51"/>
      <c r="S201" s="33" t="s">
        <v>72</v>
      </c>
      <c r="T201" s="33"/>
      <c r="U201" s="33"/>
      <c r="V201" s="33"/>
      <c r="W201" s="52" t="s">
        <v>72</v>
      </c>
      <c r="X201" s="52"/>
    </row>
    <row r="202" spans="1:24" s="1" customFormat="1" ht="14.1" customHeight="1">
      <c r="A202" s="29" t="s">
        <v>266</v>
      </c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30" t="s">
        <v>267</v>
      </c>
      <c r="M202" s="30"/>
      <c r="N202" s="30" t="s">
        <v>268</v>
      </c>
      <c r="O202" s="30"/>
      <c r="P202" s="48">
        <f>13566627.81</f>
        <v>13566627.810000001</v>
      </c>
      <c r="Q202" s="48"/>
      <c r="R202" s="48"/>
      <c r="S202" s="31">
        <f>-12254215.54</f>
        <v>-12254215.539999999</v>
      </c>
      <c r="T202" s="31"/>
      <c r="U202" s="31"/>
      <c r="V202" s="31"/>
      <c r="W202" s="49">
        <f>25820843.35</f>
        <v>25820843.350000001</v>
      </c>
      <c r="X202" s="49"/>
    </row>
    <row r="203" spans="1:24" s="1" customFormat="1" ht="14.1" customHeight="1">
      <c r="A203" s="29" t="s">
        <v>269</v>
      </c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30" t="s">
        <v>270</v>
      </c>
      <c r="M203" s="30"/>
      <c r="N203" s="30" t="s">
        <v>271</v>
      </c>
      <c r="O203" s="30"/>
      <c r="P203" s="48">
        <f>-199482289.62</f>
        <v>-199482289.62</v>
      </c>
      <c r="Q203" s="48"/>
      <c r="R203" s="48"/>
      <c r="S203" s="31">
        <f>-23642858.97</f>
        <v>-23642858.969999999</v>
      </c>
      <c r="T203" s="31"/>
      <c r="U203" s="31"/>
      <c r="V203" s="31"/>
      <c r="W203" s="53" t="s">
        <v>35</v>
      </c>
      <c r="X203" s="53"/>
    </row>
    <row r="204" spans="1:24" s="1" customFormat="1" ht="14.1" customHeight="1">
      <c r="A204" s="29" t="s">
        <v>272</v>
      </c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30" t="s">
        <v>273</v>
      </c>
      <c r="M204" s="30"/>
      <c r="N204" s="30" t="s">
        <v>274</v>
      </c>
      <c r="O204" s="30"/>
      <c r="P204" s="48">
        <f>213048917.43</f>
        <v>213048917.43000001</v>
      </c>
      <c r="Q204" s="48"/>
      <c r="R204" s="48"/>
      <c r="S204" s="31">
        <f>11388643.43</f>
        <v>11388643.43</v>
      </c>
      <c r="T204" s="31"/>
      <c r="U204" s="31"/>
      <c r="V204" s="31"/>
      <c r="W204" s="53" t="s">
        <v>35</v>
      </c>
      <c r="X204" s="53"/>
    </row>
    <row r="205" spans="1:24" s="1" customFormat="1" ht="14.1" customHeight="1">
      <c r="A205" s="55" t="s">
        <v>10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</row>
    <row r="206" spans="1:24" s="1" customFormat="1" ht="24" customHeight="1">
      <c r="A206" s="7" t="s">
        <v>275</v>
      </c>
      <c r="B206" s="7"/>
      <c r="C206" s="7"/>
      <c r="D206" s="7"/>
      <c r="E206" s="7"/>
      <c r="F206" s="7"/>
      <c r="G206" s="7"/>
      <c r="H206" s="7"/>
      <c r="I206" s="54" t="s">
        <v>10</v>
      </c>
      <c r="J206" s="54"/>
      <c r="K206" s="54"/>
      <c r="L206" s="54"/>
      <c r="M206" s="54"/>
      <c r="N206" s="54" t="s">
        <v>276</v>
      </c>
      <c r="O206" s="54"/>
      <c r="P206" s="54"/>
      <c r="Q206" s="54"/>
      <c r="R206" s="7" t="s">
        <v>10</v>
      </c>
      <c r="S206" s="7"/>
      <c r="T206" s="7"/>
      <c r="U206" s="7"/>
      <c r="V206" s="7"/>
      <c r="W206" s="7"/>
      <c r="X206" s="7"/>
    </row>
    <row r="207" spans="1:24" s="1" customFormat="1" ht="14.1" customHeight="1">
      <c r="A207" s="7" t="s">
        <v>10</v>
      </c>
      <c r="B207" s="7"/>
      <c r="C207" s="7"/>
      <c r="D207" s="7"/>
      <c r="E207" s="7"/>
      <c r="F207" s="7"/>
      <c r="G207" s="7"/>
      <c r="H207" s="7"/>
      <c r="I207" s="10" t="s">
        <v>10</v>
      </c>
      <c r="J207" s="56" t="s">
        <v>277</v>
      </c>
      <c r="K207" s="56"/>
      <c r="L207" s="56"/>
      <c r="M207" s="10" t="s">
        <v>10</v>
      </c>
      <c r="N207" s="10" t="s">
        <v>10</v>
      </c>
      <c r="O207" s="56" t="s">
        <v>278</v>
      </c>
      <c r="P207" s="56"/>
      <c r="Q207" s="7" t="s">
        <v>10</v>
      </c>
      <c r="R207" s="7"/>
      <c r="S207" s="7"/>
      <c r="T207" s="7"/>
      <c r="U207" s="7"/>
      <c r="V207" s="7"/>
      <c r="W207" s="7"/>
      <c r="X207" s="7"/>
    </row>
    <row r="208" spans="1:24" s="1" customFormat="1" ht="8.1" customHeight="1">
      <c r="A208" s="7" t="s">
        <v>10</v>
      </c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 spans="1:24" s="1" customFormat="1" ht="14.1" customHeight="1">
      <c r="A209" s="7" t="s">
        <v>279</v>
      </c>
      <c r="B209" s="7"/>
      <c r="C209" s="7"/>
      <c r="D209" s="7"/>
      <c r="E209" s="7"/>
      <c r="F209" s="7"/>
      <c r="G209" s="7"/>
      <c r="H209" s="7"/>
      <c r="I209" s="54" t="s">
        <v>10</v>
      </c>
      <c r="J209" s="54"/>
      <c r="K209" s="54"/>
      <c r="L209" s="54"/>
      <c r="M209" s="54"/>
      <c r="N209" s="54" t="s">
        <v>280</v>
      </c>
      <c r="O209" s="54"/>
      <c r="P209" s="54"/>
      <c r="Q209" s="54"/>
      <c r="R209" s="7" t="s">
        <v>10</v>
      </c>
      <c r="S209" s="7"/>
      <c r="T209" s="7"/>
      <c r="U209" s="7"/>
      <c r="V209" s="7"/>
      <c r="W209" s="7"/>
      <c r="X209" s="7"/>
    </row>
    <row r="210" spans="1:24" s="1" customFormat="1" ht="14.1" customHeight="1">
      <c r="A210" s="7" t="s">
        <v>10</v>
      </c>
      <c r="B210" s="7"/>
      <c r="C210" s="7"/>
      <c r="D210" s="7"/>
      <c r="E210" s="7"/>
      <c r="F210" s="7"/>
      <c r="G210" s="7"/>
      <c r="H210" s="7"/>
      <c r="I210" s="10" t="s">
        <v>10</v>
      </c>
      <c r="J210" s="56" t="s">
        <v>277</v>
      </c>
      <c r="K210" s="56"/>
      <c r="L210" s="56"/>
      <c r="M210" s="10" t="s">
        <v>10</v>
      </c>
      <c r="N210" s="10" t="s">
        <v>10</v>
      </c>
      <c r="O210" s="56" t="s">
        <v>278</v>
      </c>
      <c r="P210" s="56"/>
      <c r="Q210" s="7" t="s">
        <v>10</v>
      </c>
      <c r="R210" s="7"/>
      <c r="S210" s="7"/>
      <c r="T210" s="7"/>
      <c r="U210" s="7"/>
      <c r="V210" s="7"/>
      <c r="W210" s="7"/>
      <c r="X210" s="7"/>
    </row>
    <row r="211" spans="1:24" s="1" customFormat="1" ht="8.1" customHeight="1">
      <c r="A211" s="7" t="s">
        <v>10</v>
      </c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 spans="1:24" s="1" customFormat="1" ht="14.1" customHeight="1">
      <c r="A212" s="7" t="s">
        <v>281</v>
      </c>
      <c r="B212" s="7"/>
      <c r="C212" s="7"/>
      <c r="D212" s="7"/>
      <c r="E212" s="7"/>
      <c r="F212" s="7"/>
      <c r="G212" s="7"/>
      <c r="H212" s="7"/>
      <c r="I212" s="54" t="s">
        <v>10</v>
      </c>
      <c r="J212" s="54"/>
      <c r="K212" s="54"/>
      <c r="L212" s="54"/>
      <c r="M212" s="54"/>
      <c r="N212" s="54" t="s">
        <v>282</v>
      </c>
      <c r="O212" s="54"/>
      <c r="P212" s="54"/>
      <c r="Q212" s="54"/>
      <c r="R212" s="7" t="s">
        <v>10</v>
      </c>
      <c r="S212" s="7"/>
      <c r="T212" s="7"/>
      <c r="U212" s="7"/>
      <c r="V212" s="7"/>
      <c r="W212" s="7"/>
      <c r="X212" s="7"/>
    </row>
    <row r="213" spans="1:24" s="1" customFormat="1" ht="14.1" customHeight="1">
      <c r="A213" s="7" t="s">
        <v>10</v>
      </c>
      <c r="B213" s="7"/>
      <c r="C213" s="7"/>
      <c r="D213" s="7"/>
      <c r="E213" s="7"/>
      <c r="F213" s="7"/>
      <c r="G213" s="7"/>
      <c r="H213" s="7"/>
      <c r="I213" s="10" t="s">
        <v>10</v>
      </c>
      <c r="J213" s="56" t="s">
        <v>277</v>
      </c>
      <c r="K213" s="56"/>
      <c r="L213" s="56"/>
      <c r="M213" s="10" t="s">
        <v>10</v>
      </c>
      <c r="N213" s="10" t="s">
        <v>10</v>
      </c>
      <c r="O213" s="56" t="s">
        <v>278</v>
      </c>
      <c r="P213" s="56"/>
      <c r="Q213" s="7" t="s">
        <v>10</v>
      </c>
      <c r="R213" s="7"/>
      <c r="S213" s="7"/>
      <c r="T213" s="7"/>
      <c r="U213" s="7"/>
      <c r="V213" s="7"/>
      <c r="W213" s="7"/>
      <c r="X213" s="7"/>
    </row>
    <row r="214" spans="1:24" s="1" customFormat="1" ht="8.1" customHeight="1">
      <c r="A214" s="7" t="s">
        <v>10</v>
      </c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</row>
    <row r="215" spans="1:24" s="1" customFormat="1" ht="24" customHeight="1">
      <c r="A215" s="7" t="s">
        <v>283</v>
      </c>
      <c r="B215" s="7"/>
      <c r="C215" s="54" t="s">
        <v>284</v>
      </c>
      <c r="D215" s="54"/>
      <c r="E215" s="54"/>
      <c r="F215" s="54"/>
      <c r="G215" s="54"/>
      <c r="H215" s="54"/>
      <c r="I215" s="54" t="s">
        <v>10</v>
      </c>
      <c r="J215" s="54"/>
      <c r="K215" s="54"/>
      <c r="L215" s="54"/>
      <c r="M215" s="54"/>
      <c r="N215" s="54" t="s">
        <v>285</v>
      </c>
      <c r="O215" s="54"/>
      <c r="P215" s="54"/>
      <c r="Q215" s="54"/>
      <c r="R215" s="7" t="s">
        <v>10</v>
      </c>
      <c r="S215" s="7"/>
      <c r="T215" s="7"/>
      <c r="U215" s="7"/>
      <c r="V215" s="7"/>
      <c r="W215" s="7"/>
      <c r="X215" s="7"/>
    </row>
    <row r="216" spans="1:24" s="1" customFormat="1" ht="14.1" customHeight="1">
      <c r="A216" s="7" t="s">
        <v>10</v>
      </c>
      <c r="B216" s="7"/>
      <c r="C216" s="10" t="s">
        <v>10</v>
      </c>
      <c r="D216" s="56" t="s">
        <v>286</v>
      </c>
      <c r="E216" s="56"/>
      <c r="F216" s="56"/>
      <c r="G216" s="56"/>
      <c r="H216" s="10" t="s">
        <v>10</v>
      </c>
      <c r="I216" s="10" t="s">
        <v>10</v>
      </c>
      <c r="J216" s="56" t="s">
        <v>277</v>
      </c>
      <c r="K216" s="56"/>
      <c r="L216" s="56"/>
      <c r="M216" s="10" t="s">
        <v>10</v>
      </c>
      <c r="N216" s="10" t="s">
        <v>10</v>
      </c>
      <c r="O216" s="56" t="s">
        <v>278</v>
      </c>
      <c r="P216" s="56"/>
      <c r="Q216" s="7" t="s">
        <v>10</v>
      </c>
      <c r="R216" s="7"/>
      <c r="S216" s="7"/>
      <c r="T216" s="7"/>
      <c r="U216" s="7"/>
      <c r="V216" s="7"/>
      <c r="W216" s="7"/>
      <c r="X216" s="7"/>
    </row>
    <row r="217" spans="1:24" s="1" customFormat="1" ht="15.95" customHeight="1">
      <c r="A217" s="7" t="s">
        <v>10</v>
      </c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 spans="1:24" s="1" customFormat="1" ht="14.1" customHeight="1">
      <c r="A218" s="57" t="s">
        <v>287</v>
      </c>
      <c r="B218" s="57"/>
      <c r="C218" s="57"/>
      <c r="D218" s="57"/>
      <c r="E218" s="57"/>
      <c r="F218" s="57"/>
      <c r="G218" s="57"/>
      <c r="H218" s="57"/>
      <c r="I218" s="57"/>
      <c r="J218" s="57"/>
      <c r="K218" s="7" t="s">
        <v>10</v>
      </c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 spans="1:24" s="1" customFormat="1" ht="14.1" customHeight="1">
      <c r="A219" s="4" t="s">
        <v>288</v>
      </c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</sheetData>
  <mergeCells count="1203">
    <mergeCell ref="A218:J218"/>
    <mergeCell ref="K218:X218"/>
    <mergeCell ref="A219:X219"/>
    <mergeCell ref="A216:B216"/>
    <mergeCell ref="D216:G216"/>
    <mergeCell ref="J216:L216"/>
    <mergeCell ref="O216:P216"/>
    <mergeCell ref="Q216:X216"/>
    <mergeCell ref="A217:X217"/>
    <mergeCell ref="A214:X214"/>
    <mergeCell ref="A215:B215"/>
    <mergeCell ref="C215:H215"/>
    <mergeCell ref="I215:M215"/>
    <mergeCell ref="N215:Q215"/>
    <mergeCell ref="R215:X215"/>
    <mergeCell ref="A211:X211"/>
    <mergeCell ref="A212:H212"/>
    <mergeCell ref="I212:M212"/>
    <mergeCell ref="N212:Q212"/>
    <mergeCell ref="R212:X212"/>
    <mergeCell ref="A213:H213"/>
    <mergeCell ref="J213:L213"/>
    <mergeCell ref="O213:P213"/>
    <mergeCell ref="Q213:X213"/>
    <mergeCell ref="A208:X208"/>
    <mergeCell ref="A209:H209"/>
    <mergeCell ref="I209:M209"/>
    <mergeCell ref="N209:Q209"/>
    <mergeCell ref="R209:X209"/>
    <mergeCell ref="A210:H210"/>
    <mergeCell ref="J210:L210"/>
    <mergeCell ref="O210:P210"/>
    <mergeCell ref="Q210:X210"/>
    <mergeCell ref="A205:X205"/>
    <mergeCell ref="A206:H206"/>
    <mergeCell ref="I206:M206"/>
    <mergeCell ref="N206:Q206"/>
    <mergeCell ref="R206:X206"/>
    <mergeCell ref="A207:H207"/>
    <mergeCell ref="J207:L207"/>
    <mergeCell ref="O207:P207"/>
    <mergeCell ref="Q207:X207"/>
    <mergeCell ref="A204:K204"/>
    <mergeCell ref="L204:M204"/>
    <mergeCell ref="N204:O204"/>
    <mergeCell ref="P204:R204"/>
    <mergeCell ref="S204:V204"/>
    <mergeCell ref="W204:X204"/>
    <mergeCell ref="A203:K203"/>
    <mergeCell ref="L203:M203"/>
    <mergeCell ref="N203:O203"/>
    <mergeCell ref="P203:R203"/>
    <mergeCell ref="S203:V203"/>
    <mergeCell ref="W203:X203"/>
    <mergeCell ref="A202:K202"/>
    <mergeCell ref="L202:M202"/>
    <mergeCell ref="N202:O202"/>
    <mergeCell ref="P202:R202"/>
    <mergeCell ref="S202:V202"/>
    <mergeCell ref="W202:X202"/>
    <mergeCell ref="A201:K201"/>
    <mergeCell ref="L201:M201"/>
    <mergeCell ref="N201:O201"/>
    <mergeCell ref="P201:R201"/>
    <mergeCell ref="S201:V201"/>
    <mergeCell ref="W201:X201"/>
    <mergeCell ref="A199:X199"/>
    <mergeCell ref="A200:K200"/>
    <mergeCell ref="L200:M200"/>
    <mergeCell ref="N200:O200"/>
    <mergeCell ref="P200:R200"/>
    <mergeCell ref="S200:V200"/>
    <mergeCell ref="W200:X200"/>
    <mergeCell ref="A198:K198"/>
    <mergeCell ref="L198:M198"/>
    <mergeCell ref="N198:O198"/>
    <mergeCell ref="P198:R198"/>
    <mergeCell ref="S198:V198"/>
    <mergeCell ref="W198:X198"/>
    <mergeCell ref="A197:K197"/>
    <mergeCell ref="L197:M197"/>
    <mergeCell ref="N197:O197"/>
    <mergeCell ref="P197:R197"/>
    <mergeCell ref="S197:V197"/>
    <mergeCell ref="W197:X197"/>
    <mergeCell ref="A196:K196"/>
    <mergeCell ref="L196:M196"/>
    <mergeCell ref="N196:O196"/>
    <mergeCell ref="P196:R196"/>
    <mergeCell ref="S196:V196"/>
    <mergeCell ref="W196:X196"/>
    <mergeCell ref="A195:K195"/>
    <mergeCell ref="L195:M195"/>
    <mergeCell ref="N195:O195"/>
    <mergeCell ref="P195:R195"/>
    <mergeCell ref="S195:V195"/>
    <mergeCell ref="W195:X195"/>
    <mergeCell ref="A194:K194"/>
    <mergeCell ref="L194:M194"/>
    <mergeCell ref="N194:O194"/>
    <mergeCell ref="P194:R194"/>
    <mergeCell ref="S194:V194"/>
    <mergeCell ref="W194:X194"/>
    <mergeCell ref="A193:K193"/>
    <mergeCell ref="L193:M193"/>
    <mergeCell ref="N193:O193"/>
    <mergeCell ref="P193:R193"/>
    <mergeCell ref="S193:V193"/>
    <mergeCell ref="W193:X193"/>
    <mergeCell ref="A192:K192"/>
    <mergeCell ref="L192:M192"/>
    <mergeCell ref="N192:O192"/>
    <mergeCell ref="P192:R192"/>
    <mergeCell ref="S192:V192"/>
    <mergeCell ref="W192:X192"/>
    <mergeCell ref="A191:K191"/>
    <mergeCell ref="L191:M191"/>
    <mergeCell ref="N191:O191"/>
    <mergeCell ref="P191:R191"/>
    <mergeCell ref="S191:V191"/>
    <mergeCell ref="W191:X191"/>
    <mergeCell ref="A188:X188"/>
    <mergeCell ref="A189:X189"/>
    <mergeCell ref="A190:K190"/>
    <mergeCell ref="L190:M190"/>
    <mergeCell ref="N190:O190"/>
    <mergeCell ref="P190:R190"/>
    <mergeCell ref="S190:V190"/>
    <mergeCell ref="W190:X190"/>
    <mergeCell ref="A187:K187"/>
    <mergeCell ref="L187:M187"/>
    <mergeCell ref="N187:O187"/>
    <mergeCell ref="P187:R187"/>
    <mergeCell ref="S187:V187"/>
    <mergeCell ref="W187:X187"/>
    <mergeCell ref="A186:K186"/>
    <mergeCell ref="L186:M186"/>
    <mergeCell ref="N186:O186"/>
    <mergeCell ref="P186:R186"/>
    <mergeCell ref="S186:V186"/>
    <mergeCell ref="W186:X186"/>
    <mergeCell ref="A185:K185"/>
    <mergeCell ref="L185:M185"/>
    <mergeCell ref="N185:O185"/>
    <mergeCell ref="P185:R185"/>
    <mergeCell ref="S185:V185"/>
    <mergeCell ref="W185:X185"/>
    <mergeCell ref="A184:K184"/>
    <mergeCell ref="L184:M184"/>
    <mergeCell ref="N184:O184"/>
    <mergeCell ref="P184:R184"/>
    <mergeCell ref="S184:V184"/>
    <mergeCell ref="W184:X184"/>
    <mergeCell ref="A183:K183"/>
    <mergeCell ref="L183:M183"/>
    <mergeCell ref="N183:O183"/>
    <mergeCell ref="P183:R183"/>
    <mergeCell ref="S183:V183"/>
    <mergeCell ref="W183:X183"/>
    <mergeCell ref="A182:K182"/>
    <mergeCell ref="L182:M182"/>
    <mergeCell ref="N182:O182"/>
    <mergeCell ref="P182:R182"/>
    <mergeCell ref="S182:V182"/>
    <mergeCell ref="W182:X182"/>
    <mergeCell ref="A181:K181"/>
    <mergeCell ref="L181:M181"/>
    <mergeCell ref="N181:O181"/>
    <mergeCell ref="P181:R181"/>
    <mergeCell ref="S181:V181"/>
    <mergeCell ref="W181:X181"/>
    <mergeCell ref="A180:K180"/>
    <mergeCell ref="L180:M180"/>
    <mergeCell ref="N180:O180"/>
    <mergeCell ref="P180:R180"/>
    <mergeCell ref="S180:V180"/>
    <mergeCell ref="W180:X180"/>
    <mergeCell ref="A179:K179"/>
    <mergeCell ref="L179:M179"/>
    <mergeCell ref="N179:O179"/>
    <mergeCell ref="P179:R179"/>
    <mergeCell ref="S179:V179"/>
    <mergeCell ref="W179:X179"/>
    <mergeCell ref="A178:K178"/>
    <mergeCell ref="L178:M178"/>
    <mergeCell ref="N178:O178"/>
    <mergeCell ref="P178:R178"/>
    <mergeCell ref="S178:V178"/>
    <mergeCell ref="W178:X178"/>
    <mergeCell ref="A177:K177"/>
    <mergeCell ref="L177:M177"/>
    <mergeCell ref="N177:O177"/>
    <mergeCell ref="P177:R177"/>
    <mergeCell ref="S177:V177"/>
    <mergeCell ref="W177:X177"/>
    <mergeCell ref="A176:K176"/>
    <mergeCell ref="L176:M176"/>
    <mergeCell ref="N176:O176"/>
    <mergeCell ref="P176:R176"/>
    <mergeCell ref="S176:V176"/>
    <mergeCell ref="W176:X176"/>
    <mergeCell ref="A175:K175"/>
    <mergeCell ref="L175:M175"/>
    <mergeCell ref="N175:O175"/>
    <mergeCell ref="P175:R175"/>
    <mergeCell ref="S175:V175"/>
    <mergeCell ref="W175:X175"/>
    <mergeCell ref="A174:K174"/>
    <mergeCell ref="L174:M174"/>
    <mergeCell ref="N174:O174"/>
    <mergeCell ref="P174:R174"/>
    <mergeCell ref="S174:V174"/>
    <mergeCell ref="W174:X174"/>
    <mergeCell ref="A173:K173"/>
    <mergeCell ref="L173:M173"/>
    <mergeCell ref="N173:O173"/>
    <mergeCell ref="P173:R173"/>
    <mergeCell ref="S173:V173"/>
    <mergeCell ref="W173:X173"/>
    <mergeCell ref="A172:K172"/>
    <mergeCell ref="L172:M172"/>
    <mergeCell ref="N172:O172"/>
    <mergeCell ref="P172:R172"/>
    <mergeCell ref="S172:V172"/>
    <mergeCell ref="W172:X172"/>
    <mergeCell ref="A171:K171"/>
    <mergeCell ref="L171:M171"/>
    <mergeCell ref="N171:O171"/>
    <mergeCell ref="P171:R171"/>
    <mergeCell ref="S171:V171"/>
    <mergeCell ref="W171:X171"/>
    <mergeCell ref="A170:K170"/>
    <mergeCell ref="L170:M170"/>
    <mergeCell ref="N170:O170"/>
    <mergeCell ref="P170:R170"/>
    <mergeCell ref="S170:V170"/>
    <mergeCell ref="W170:X170"/>
    <mergeCell ref="A169:K169"/>
    <mergeCell ref="L169:M169"/>
    <mergeCell ref="N169:O169"/>
    <mergeCell ref="P169:R169"/>
    <mergeCell ref="S169:V169"/>
    <mergeCell ref="W169:X169"/>
    <mergeCell ref="A168:K168"/>
    <mergeCell ref="L168:M168"/>
    <mergeCell ref="N168:O168"/>
    <mergeCell ref="P168:R168"/>
    <mergeCell ref="S168:V168"/>
    <mergeCell ref="W168:X168"/>
    <mergeCell ref="A167:K167"/>
    <mergeCell ref="L167:M167"/>
    <mergeCell ref="N167:O167"/>
    <mergeCell ref="P167:R167"/>
    <mergeCell ref="S167:V167"/>
    <mergeCell ref="W167:X167"/>
    <mergeCell ref="A166:K166"/>
    <mergeCell ref="L166:M166"/>
    <mergeCell ref="N166:O166"/>
    <mergeCell ref="P166:R166"/>
    <mergeCell ref="S166:V166"/>
    <mergeCell ref="W166:X166"/>
    <mergeCell ref="A165:K165"/>
    <mergeCell ref="L165:M165"/>
    <mergeCell ref="N165:O165"/>
    <mergeCell ref="P165:R165"/>
    <mergeCell ref="S165:V165"/>
    <mergeCell ref="W165:X165"/>
    <mergeCell ref="A164:K164"/>
    <mergeCell ref="L164:M164"/>
    <mergeCell ref="N164:O164"/>
    <mergeCell ref="P164:R164"/>
    <mergeCell ref="S164:V164"/>
    <mergeCell ref="W164:X164"/>
    <mergeCell ref="A163:K163"/>
    <mergeCell ref="L163:M163"/>
    <mergeCell ref="N163:O163"/>
    <mergeCell ref="P163:R163"/>
    <mergeCell ref="S163:V163"/>
    <mergeCell ref="W163:X163"/>
    <mergeCell ref="A162:K162"/>
    <mergeCell ref="L162:M162"/>
    <mergeCell ref="N162:O162"/>
    <mergeCell ref="P162:R162"/>
    <mergeCell ref="S162:V162"/>
    <mergeCell ref="W162:X162"/>
    <mergeCell ref="A161:K161"/>
    <mergeCell ref="L161:M161"/>
    <mergeCell ref="N161:O161"/>
    <mergeCell ref="P161:R161"/>
    <mergeCell ref="S161:V161"/>
    <mergeCell ref="W161:X161"/>
    <mergeCell ref="A160:K160"/>
    <mergeCell ref="L160:M160"/>
    <mergeCell ref="N160:O160"/>
    <mergeCell ref="P160:R160"/>
    <mergeCell ref="S160:V160"/>
    <mergeCell ref="W160:X160"/>
    <mergeCell ref="A159:K159"/>
    <mergeCell ref="L159:M159"/>
    <mergeCell ref="N159:O159"/>
    <mergeCell ref="P159:R159"/>
    <mergeCell ref="S159:V159"/>
    <mergeCell ref="W159:X159"/>
    <mergeCell ref="A158:K158"/>
    <mergeCell ref="L158:M158"/>
    <mergeCell ref="N158:O158"/>
    <mergeCell ref="P158:R158"/>
    <mergeCell ref="S158:V158"/>
    <mergeCell ref="W158:X158"/>
    <mergeCell ref="A157:K157"/>
    <mergeCell ref="L157:M157"/>
    <mergeCell ref="N157:O157"/>
    <mergeCell ref="P157:R157"/>
    <mergeCell ref="S157:V157"/>
    <mergeCell ref="W157:X157"/>
    <mergeCell ref="A156:K156"/>
    <mergeCell ref="L156:M156"/>
    <mergeCell ref="N156:O156"/>
    <mergeCell ref="P156:R156"/>
    <mergeCell ref="S156:V156"/>
    <mergeCell ref="W156:X156"/>
    <mergeCell ref="A155:K155"/>
    <mergeCell ref="L155:M155"/>
    <mergeCell ref="N155:O155"/>
    <mergeCell ref="P155:R155"/>
    <mergeCell ref="S155:V155"/>
    <mergeCell ref="W155:X155"/>
    <mergeCell ref="A154:K154"/>
    <mergeCell ref="L154:M154"/>
    <mergeCell ref="N154:O154"/>
    <mergeCell ref="P154:R154"/>
    <mergeCell ref="S154:V154"/>
    <mergeCell ref="W154:X154"/>
    <mergeCell ref="A153:K153"/>
    <mergeCell ref="L153:M153"/>
    <mergeCell ref="N153:O153"/>
    <mergeCell ref="P153:R153"/>
    <mergeCell ref="S153:V153"/>
    <mergeCell ref="W153:X153"/>
    <mergeCell ref="A152:K152"/>
    <mergeCell ref="L152:M152"/>
    <mergeCell ref="N152:O152"/>
    <mergeCell ref="P152:R152"/>
    <mergeCell ref="S152:V152"/>
    <mergeCell ref="W152:X152"/>
    <mergeCell ref="A151:K151"/>
    <mergeCell ref="L151:M151"/>
    <mergeCell ref="N151:O151"/>
    <mergeCell ref="P151:R151"/>
    <mergeCell ref="S151:V151"/>
    <mergeCell ref="W151:X151"/>
    <mergeCell ref="A150:K150"/>
    <mergeCell ref="L150:M150"/>
    <mergeCell ref="N150:O150"/>
    <mergeCell ref="P150:R150"/>
    <mergeCell ref="S150:V150"/>
    <mergeCell ref="W150:X150"/>
    <mergeCell ref="A149:K149"/>
    <mergeCell ref="L149:M149"/>
    <mergeCell ref="N149:O149"/>
    <mergeCell ref="P149:R149"/>
    <mergeCell ref="S149:V149"/>
    <mergeCell ref="W149:X149"/>
    <mergeCell ref="A148:K148"/>
    <mergeCell ref="L148:M148"/>
    <mergeCell ref="N148:O148"/>
    <mergeCell ref="P148:R148"/>
    <mergeCell ref="S148:V148"/>
    <mergeCell ref="W148:X148"/>
    <mergeCell ref="A147:K147"/>
    <mergeCell ref="L147:M147"/>
    <mergeCell ref="N147:O147"/>
    <mergeCell ref="P147:R147"/>
    <mergeCell ref="S147:V147"/>
    <mergeCell ref="W147:X147"/>
    <mergeCell ref="A146:K146"/>
    <mergeCell ref="L146:M146"/>
    <mergeCell ref="N146:O146"/>
    <mergeCell ref="P146:R146"/>
    <mergeCell ref="S146:V146"/>
    <mergeCell ref="W146:X146"/>
    <mergeCell ref="A145:K145"/>
    <mergeCell ref="L145:M145"/>
    <mergeCell ref="N145:O145"/>
    <mergeCell ref="P145:R145"/>
    <mergeCell ref="S145:V145"/>
    <mergeCell ref="W145:X145"/>
    <mergeCell ref="A144:K144"/>
    <mergeCell ref="L144:M144"/>
    <mergeCell ref="N144:O144"/>
    <mergeCell ref="P144:R144"/>
    <mergeCell ref="S144:V144"/>
    <mergeCell ref="W144:X144"/>
    <mergeCell ref="A143:K143"/>
    <mergeCell ref="L143:M143"/>
    <mergeCell ref="N143:O143"/>
    <mergeCell ref="P143:R143"/>
    <mergeCell ref="S143:V143"/>
    <mergeCell ref="W143:X143"/>
    <mergeCell ref="A142:K142"/>
    <mergeCell ref="L142:M142"/>
    <mergeCell ref="N142:O142"/>
    <mergeCell ref="P142:R142"/>
    <mergeCell ref="S142:V142"/>
    <mergeCell ref="W142:X142"/>
    <mergeCell ref="A141:K141"/>
    <mergeCell ref="L141:M141"/>
    <mergeCell ref="N141:O141"/>
    <mergeCell ref="P141:R141"/>
    <mergeCell ref="S141:V141"/>
    <mergeCell ref="W141:X141"/>
    <mergeCell ref="A140:K140"/>
    <mergeCell ref="L140:M140"/>
    <mergeCell ref="N140:O140"/>
    <mergeCell ref="P140:R140"/>
    <mergeCell ref="S140:V140"/>
    <mergeCell ref="W140:X140"/>
    <mergeCell ref="A139:K139"/>
    <mergeCell ref="L139:M139"/>
    <mergeCell ref="N139:O139"/>
    <mergeCell ref="P139:R139"/>
    <mergeCell ref="S139:V139"/>
    <mergeCell ref="W139:X139"/>
    <mergeCell ref="A138:K138"/>
    <mergeCell ref="L138:M138"/>
    <mergeCell ref="N138:O138"/>
    <mergeCell ref="P138:R138"/>
    <mergeCell ref="S138:V138"/>
    <mergeCell ref="W138:X138"/>
    <mergeCell ref="A137:K137"/>
    <mergeCell ref="L137:M137"/>
    <mergeCell ref="N137:O137"/>
    <mergeCell ref="P137:R137"/>
    <mergeCell ref="S137:V137"/>
    <mergeCell ref="W137:X137"/>
    <mergeCell ref="A136:K136"/>
    <mergeCell ref="L136:M136"/>
    <mergeCell ref="N136:O136"/>
    <mergeCell ref="P136:R136"/>
    <mergeCell ref="S136:V136"/>
    <mergeCell ref="W136:X136"/>
    <mergeCell ref="A135:K135"/>
    <mergeCell ref="L135:M135"/>
    <mergeCell ref="N135:O135"/>
    <mergeCell ref="P135:R135"/>
    <mergeCell ref="S135:V135"/>
    <mergeCell ref="W135:X135"/>
    <mergeCell ref="A134:K134"/>
    <mergeCell ref="L134:M134"/>
    <mergeCell ref="N134:O134"/>
    <mergeCell ref="P134:R134"/>
    <mergeCell ref="S134:V134"/>
    <mergeCell ref="W134:X134"/>
    <mergeCell ref="A133:K133"/>
    <mergeCell ref="L133:M133"/>
    <mergeCell ref="N133:O133"/>
    <mergeCell ref="P133:R133"/>
    <mergeCell ref="S133:V133"/>
    <mergeCell ref="W133:X133"/>
    <mergeCell ref="A132:K132"/>
    <mergeCell ref="L132:M132"/>
    <mergeCell ref="N132:O132"/>
    <mergeCell ref="P132:R132"/>
    <mergeCell ref="S132:V132"/>
    <mergeCell ref="W132:X132"/>
    <mergeCell ref="A131:K131"/>
    <mergeCell ref="L131:M131"/>
    <mergeCell ref="N131:O131"/>
    <mergeCell ref="P131:R131"/>
    <mergeCell ref="S131:V131"/>
    <mergeCell ref="W131:X131"/>
    <mergeCell ref="A130:K130"/>
    <mergeCell ref="L130:M130"/>
    <mergeCell ref="N130:O130"/>
    <mergeCell ref="P130:R130"/>
    <mergeCell ref="S130:V130"/>
    <mergeCell ref="W130:X130"/>
    <mergeCell ref="A129:K129"/>
    <mergeCell ref="L129:M129"/>
    <mergeCell ref="N129:O129"/>
    <mergeCell ref="P129:R129"/>
    <mergeCell ref="S129:V129"/>
    <mergeCell ref="W129:X129"/>
    <mergeCell ref="A128:K128"/>
    <mergeCell ref="L128:M128"/>
    <mergeCell ref="N128:O128"/>
    <mergeCell ref="P128:R128"/>
    <mergeCell ref="S128:V128"/>
    <mergeCell ref="W128:X128"/>
    <mergeCell ref="A127:K127"/>
    <mergeCell ref="L127:M127"/>
    <mergeCell ref="N127:O127"/>
    <mergeCell ref="P127:R127"/>
    <mergeCell ref="S127:V127"/>
    <mergeCell ref="W127:X127"/>
    <mergeCell ref="A126:K126"/>
    <mergeCell ref="L126:M126"/>
    <mergeCell ref="N126:O126"/>
    <mergeCell ref="P126:R126"/>
    <mergeCell ref="S126:V126"/>
    <mergeCell ref="W126:X126"/>
    <mergeCell ref="A125:K125"/>
    <mergeCell ref="L125:M125"/>
    <mergeCell ref="N125:O125"/>
    <mergeCell ref="P125:R125"/>
    <mergeCell ref="S125:V125"/>
    <mergeCell ref="W125:X125"/>
    <mergeCell ref="A124:K124"/>
    <mergeCell ref="L124:M124"/>
    <mergeCell ref="N124:O124"/>
    <mergeCell ref="P124:R124"/>
    <mergeCell ref="S124:V124"/>
    <mergeCell ref="W124:X124"/>
    <mergeCell ref="A123:K123"/>
    <mergeCell ref="L123:M123"/>
    <mergeCell ref="N123:O123"/>
    <mergeCell ref="P123:R123"/>
    <mergeCell ref="S123:V123"/>
    <mergeCell ref="W123:X123"/>
    <mergeCell ref="A122:K122"/>
    <mergeCell ref="L122:M122"/>
    <mergeCell ref="N122:O122"/>
    <mergeCell ref="P122:R122"/>
    <mergeCell ref="S122:V122"/>
    <mergeCell ref="W122:X122"/>
    <mergeCell ref="A121:K121"/>
    <mergeCell ref="L121:M121"/>
    <mergeCell ref="N121:O121"/>
    <mergeCell ref="P121:R121"/>
    <mergeCell ref="S121:V121"/>
    <mergeCell ref="W121:X121"/>
    <mergeCell ref="A120:K120"/>
    <mergeCell ref="L120:M120"/>
    <mergeCell ref="N120:O120"/>
    <mergeCell ref="P120:R120"/>
    <mergeCell ref="S120:V120"/>
    <mergeCell ref="W120:X120"/>
    <mergeCell ref="A119:K119"/>
    <mergeCell ref="L119:M119"/>
    <mergeCell ref="N119:O119"/>
    <mergeCell ref="P119:R119"/>
    <mergeCell ref="S119:V119"/>
    <mergeCell ref="W119:X119"/>
    <mergeCell ref="A118:K118"/>
    <mergeCell ref="L118:M118"/>
    <mergeCell ref="N118:O118"/>
    <mergeCell ref="P118:R118"/>
    <mergeCell ref="S118:V118"/>
    <mergeCell ref="W118:X118"/>
    <mergeCell ref="A117:K117"/>
    <mergeCell ref="L117:M117"/>
    <mergeCell ref="N117:O117"/>
    <mergeCell ref="P117:R117"/>
    <mergeCell ref="S117:V117"/>
    <mergeCell ref="W117:X117"/>
    <mergeCell ref="A116:K116"/>
    <mergeCell ref="L116:M116"/>
    <mergeCell ref="N116:O116"/>
    <mergeCell ref="P116:R116"/>
    <mergeCell ref="S116:V116"/>
    <mergeCell ref="W116:X116"/>
    <mergeCell ref="A115:K115"/>
    <mergeCell ref="L115:M115"/>
    <mergeCell ref="N115:O115"/>
    <mergeCell ref="P115:R115"/>
    <mergeCell ref="S115:V115"/>
    <mergeCell ref="W115:X115"/>
    <mergeCell ref="A114:K114"/>
    <mergeCell ref="L114:M114"/>
    <mergeCell ref="N114:O114"/>
    <mergeCell ref="P114:R114"/>
    <mergeCell ref="S114:V114"/>
    <mergeCell ref="W114:X114"/>
    <mergeCell ref="A113:K113"/>
    <mergeCell ref="L113:M113"/>
    <mergeCell ref="N113:O113"/>
    <mergeCell ref="P113:R113"/>
    <mergeCell ref="S113:V113"/>
    <mergeCell ref="W113:X113"/>
    <mergeCell ref="A112:K112"/>
    <mergeCell ref="L112:M112"/>
    <mergeCell ref="N112:O112"/>
    <mergeCell ref="P112:R112"/>
    <mergeCell ref="S112:V112"/>
    <mergeCell ref="W112:X112"/>
    <mergeCell ref="A111:K111"/>
    <mergeCell ref="L111:M111"/>
    <mergeCell ref="N111:O111"/>
    <mergeCell ref="P111:R111"/>
    <mergeCell ref="S111:V111"/>
    <mergeCell ref="W111:X111"/>
    <mergeCell ref="A110:K110"/>
    <mergeCell ref="L110:M110"/>
    <mergeCell ref="N110:O110"/>
    <mergeCell ref="P110:R110"/>
    <mergeCell ref="S110:V110"/>
    <mergeCell ref="W110:X110"/>
    <mergeCell ref="A109:K109"/>
    <mergeCell ref="L109:M109"/>
    <mergeCell ref="N109:O109"/>
    <mergeCell ref="P109:R109"/>
    <mergeCell ref="S109:V109"/>
    <mergeCell ref="W109:X109"/>
    <mergeCell ref="A108:K108"/>
    <mergeCell ref="L108:M108"/>
    <mergeCell ref="N108:O108"/>
    <mergeCell ref="P108:R108"/>
    <mergeCell ref="S108:V108"/>
    <mergeCell ref="W108:X108"/>
    <mergeCell ref="A107:K107"/>
    <mergeCell ref="L107:M107"/>
    <mergeCell ref="N107:O107"/>
    <mergeCell ref="P107:R107"/>
    <mergeCell ref="S107:V107"/>
    <mergeCell ref="W107:X107"/>
    <mergeCell ref="A106:K106"/>
    <mergeCell ref="L106:M106"/>
    <mergeCell ref="N106:O106"/>
    <mergeCell ref="P106:R106"/>
    <mergeCell ref="S106:V106"/>
    <mergeCell ref="W106:X106"/>
    <mergeCell ref="A105:K105"/>
    <mergeCell ref="L105:M105"/>
    <mergeCell ref="N105:O105"/>
    <mergeCell ref="P105:R105"/>
    <mergeCell ref="S105:V105"/>
    <mergeCell ref="W105:X105"/>
    <mergeCell ref="A104:K104"/>
    <mergeCell ref="L104:M104"/>
    <mergeCell ref="N104:O104"/>
    <mergeCell ref="P104:R104"/>
    <mergeCell ref="S104:V104"/>
    <mergeCell ref="W104:X104"/>
    <mergeCell ref="A103:K103"/>
    <mergeCell ref="L103:M103"/>
    <mergeCell ref="N103:O103"/>
    <mergeCell ref="P103:R103"/>
    <mergeCell ref="S103:V103"/>
    <mergeCell ref="W103:X103"/>
    <mergeCell ref="A102:K102"/>
    <mergeCell ref="L102:M102"/>
    <mergeCell ref="N102:O102"/>
    <mergeCell ref="P102:R102"/>
    <mergeCell ref="S102:V102"/>
    <mergeCell ref="W102:X102"/>
    <mergeCell ref="A101:K101"/>
    <mergeCell ref="L101:M101"/>
    <mergeCell ref="N101:O101"/>
    <mergeCell ref="P101:R101"/>
    <mergeCell ref="S101:V101"/>
    <mergeCell ref="W101:X101"/>
    <mergeCell ref="A100:K100"/>
    <mergeCell ref="L100:M100"/>
    <mergeCell ref="N100:O100"/>
    <mergeCell ref="P100:R100"/>
    <mergeCell ref="S100:V100"/>
    <mergeCell ref="W100:X100"/>
    <mergeCell ref="A99:K99"/>
    <mergeCell ref="L99:M99"/>
    <mergeCell ref="N99:O99"/>
    <mergeCell ref="P99:R99"/>
    <mergeCell ref="S99:V99"/>
    <mergeCell ref="W99:X99"/>
    <mergeCell ref="A98:K98"/>
    <mergeCell ref="L98:M98"/>
    <mergeCell ref="N98:O98"/>
    <mergeCell ref="P98:R98"/>
    <mergeCell ref="S98:V98"/>
    <mergeCell ref="W98:X98"/>
    <mergeCell ref="A97:K97"/>
    <mergeCell ref="L97:M97"/>
    <mergeCell ref="N97:O97"/>
    <mergeCell ref="P97:R97"/>
    <mergeCell ref="S97:V97"/>
    <mergeCell ref="W97:X97"/>
    <mergeCell ref="A96:K96"/>
    <mergeCell ref="L96:M96"/>
    <mergeCell ref="N96:O96"/>
    <mergeCell ref="P96:R96"/>
    <mergeCell ref="S96:V96"/>
    <mergeCell ref="W96:X96"/>
    <mergeCell ref="A95:K95"/>
    <mergeCell ref="L95:M95"/>
    <mergeCell ref="N95:O95"/>
    <mergeCell ref="P95:R95"/>
    <mergeCell ref="S95:V95"/>
    <mergeCell ref="W95:X95"/>
    <mergeCell ref="A94:K94"/>
    <mergeCell ref="L94:M94"/>
    <mergeCell ref="N94:O94"/>
    <mergeCell ref="P94:R94"/>
    <mergeCell ref="S94:V94"/>
    <mergeCell ref="W94:X94"/>
    <mergeCell ref="A93:K93"/>
    <mergeCell ref="L93:M93"/>
    <mergeCell ref="N93:O93"/>
    <mergeCell ref="P93:R93"/>
    <mergeCell ref="S93:V93"/>
    <mergeCell ref="W93:X93"/>
    <mergeCell ref="A92:K92"/>
    <mergeCell ref="L92:M92"/>
    <mergeCell ref="N92:O92"/>
    <mergeCell ref="P92:R92"/>
    <mergeCell ref="S92:V92"/>
    <mergeCell ref="W92:X92"/>
    <mergeCell ref="A91:K91"/>
    <mergeCell ref="L91:M91"/>
    <mergeCell ref="N91:O91"/>
    <mergeCell ref="P91:R91"/>
    <mergeCell ref="S91:V91"/>
    <mergeCell ref="W91:X91"/>
    <mergeCell ref="A90:K90"/>
    <mergeCell ref="L90:M90"/>
    <mergeCell ref="N90:O90"/>
    <mergeCell ref="P90:R90"/>
    <mergeCell ref="S90:V90"/>
    <mergeCell ref="W90:X90"/>
    <mergeCell ref="A89:K89"/>
    <mergeCell ref="L89:M89"/>
    <mergeCell ref="N89:O89"/>
    <mergeCell ref="P89:R89"/>
    <mergeCell ref="S89:V89"/>
    <mergeCell ref="W89:X89"/>
    <mergeCell ref="A88:K88"/>
    <mergeCell ref="L88:M88"/>
    <mergeCell ref="N88:O88"/>
    <mergeCell ref="P88:R88"/>
    <mergeCell ref="S88:V88"/>
    <mergeCell ref="W88:X88"/>
    <mergeCell ref="A87:K87"/>
    <mergeCell ref="L87:M87"/>
    <mergeCell ref="N87:O87"/>
    <mergeCell ref="P87:R87"/>
    <mergeCell ref="S87:V87"/>
    <mergeCell ref="W87:X87"/>
    <mergeCell ref="A86:K86"/>
    <mergeCell ref="L86:M86"/>
    <mergeCell ref="N86:O86"/>
    <mergeCell ref="P86:R86"/>
    <mergeCell ref="S86:V86"/>
    <mergeCell ref="W86:X86"/>
    <mergeCell ref="A85:K85"/>
    <mergeCell ref="L85:M85"/>
    <mergeCell ref="N85:O85"/>
    <mergeCell ref="P85:R85"/>
    <mergeCell ref="S85:V85"/>
    <mergeCell ref="W85:X85"/>
    <mergeCell ref="A84:K84"/>
    <mergeCell ref="L84:M84"/>
    <mergeCell ref="N84:O84"/>
    <mergeCell ref="P84:R84"/>
    <mergeCell ref="S84:V84"/>
    <mergeCell ref="W84:X84"/>
    <mergeCell ref="A83:K83"/>
    <mergeCell ref="L83:M83"/>
    <mergeCell ref="N83:O83"/>
    <mergeCell ref="P83:R83"/>
    <mergeCell ref="S83:V83"/>
    <mergeCell ref="W83:X83"/>
    <mergeCell ref="A82:K82"/>
    <mergeCell ref="L82:M82"/>
    <mergeCell ref="N82:O82"/>
    <mergeCell ref="P82:R82"/>
    <mergeCell ref="S82:V82"/>
    <mergeCell ref="W82:X82"/>
    <mergeCell ref="A81:K81"/>
    <mergeCell ref="L81:M81"/>
    <mergeCell ref="N81:O81"/>
    <mergeCell ref="P81:R81"/>
    <mergeCell ref="S81:V81"/>
    <mergeCell ref="W81:X81"/>
    <mergeCell ref="A80:K80"/>
    <mergeCell ref="L80:M80"/>
    <mergeCell ref="N80:O80"/>
    <mergeCell ref="P80:R80"/>
    <mergeCell ref="S80:V80"/>
    <mergeCell ref="W80:X80"/>
    <mergeCell ref="A79:K79"/>
    <mergeCell ref="L79:M79"/>
    <mergeCell ref="N79:O79"/>
    <mergeCell ref="P79:R79"/>
    <mergeCell ref="S79:V79"/>
    <mergeCell ref="W79:X79"/>
    <mergeCell ref="A78:K78"/>
    <mergeCell ref="L78:M78"/>
    <mergeCell ref="N78:O78"/>
    <mergeCell ref="P78:R78"/>
    <mergeCell ref="S78:V78"/>
    <mergeCell ref="W78:X78"/>
    <mergeCell ref="A77:K77"/>
    <mergeCell ref="L77:M77"/>
    <mergeCell ref="N77:O77"/>
    <mergeCell ref="P77:R77"/>
    <mergeCell ref="S77:V77"/>
    <mergeCell ref="W77:X77"/>
    <mergeCell ref="A76:K76"/>
    <mergeCell ref="L76:M76"/>
    <mergeCell ref="N76:O76"/>
    <mergeCell ref="P76:R76"/>
    <mergeCell ref="S76:V76"/>
    <mergeCell ref="W76:X76"/>
    <mergeCell ref="A75:K75"/>
    <mergeCell ref="L75:M75"/>
    <mergeCell ref="N75:O75"/>
    <mergeCell ref="P75:R75"/>
    <mergeCell ref="S75:V75"/>
    <mergeCell ref="W75:X75"/>
    <mergeCell ref="A74:K74"/>
    <mergeCell ref="L74:M74"/>
    <mergeCell ref="N74:O74"/>
    <mergeCell ref="P74:R74"/>
    <mergeCell ref="S74:V74"/>
    <mergeCell ref="W74:X74"/>
    <mergeCell ref="A73:K73"/>
    <mergeCell ref="L73:M73"/>
    <mergeCell ref="N73:O73"/>
    <mergeCell ref="P73:R73"/>
    <mergeCell ref="S73:V73"/>
    <mergeCell ref="W73:X73"/>
    <mergeCell ref="A72:K72"/>
    <mergeCell ref="L72:M72"/>
    <mergeCell ref="N72:O72"/>
    <mergeCell ref="P72:R72"/>
    <mergeCell ref="S72:V72"/>
    <mergeCell ref="W72:X72"/>
    <mergeCell ref="A71:K71"/>
    <mergeCell ref="L71:M71"/>
    <mergeCell ref="N71:O71"/>
    <mergeCell ref="P71:R71"/>
    <mergeCell ref="S71:V71"/>
    <mergeCell ref="W71:X71"/>
    <mergeCell ref="A70:K70"/>
    <mergeCell ref="L70:M70"/>
    <mergeCell ref="N70:O70"/>
    <mergeCell ref="P70:R70"/>
    <mergeCell ref="S70:V70"/>
    <mergeCell ref="W70:X70"/>
    <mergeCell ref="A69:K69"/>
    <mergeCell ref="L69:M69"/>
    <mergeCell ref="N69:O69"/>
    <mergeCell ref="P69:R69"/>
    <mergeCell ref="S69:V69"/>
    <mergeCell ref="W69:X69"/>
    <mergeCell ref="A68:K68"/>
    <mergeCell ref="L68:M68"/>
    <mergeCell ref="N68:O68"/>
    <mergeCell ref="P68:R68"/>
    <mergeCell ref="S68:V68"/>
    <mergeCell ref="W68:X68"/>
    <mergeCell ref="A67:K67"/>
    <mergeCell ref="L67:M67"/>
    <mergeCell ref="N67:O67"/>
    <mergeCell ref="P67:R67"/>
    <mergeCell ref="S67:V67"/>
    <mergeCell ref="W67:X67"/>
    <mergeCell ref="A66:K66"/>
    <mergeCell ref="L66:M66"/>
    <mergeCell ref="N66:O66"/>
    <mergeCell ref="P66:R66"/>
    <mergeCell ref="S66:V66"/>
    <mergeCell ref="W66:X66"/>
    <mergeCell ref="A65:K65"/>
    <mergeCell ref="L65:M65"/>
    <mergeCell ref="N65:O65"/>
    <mergeCell ref="P65:R65"/>
    <mergeCell ref="S65:V65"/>
    <mergeCell ref="W65:X65"/>
    <mergeCell ref="A64:K64"/>
    <mergeCell ref="L64:M64"/>
    <mergeCell ref="N64:O64"/>
    <mergeCell ref="P64:R64"/>
    <mergeCell ref="S64:V64"/>
    <mergeCell ref="W64:X64"/>
    <mergeCell ref="A63:K63"/>
    <mergeCell ref="L63:M63"/>
    <mergeCell ref="N63:O63"/>
    <mergeCell ref="P63:R63"/>
    <mergeCell ref="S63:V63"/>
    <mergeCell ref="W63:X63"/>
    <mergeCell ref="A62:K62"/>
    <mergeCell ref="L62:M62"/>
    <mergeCell ref="N62:O62"/>
    <mergeCell ref="P62:R62"/>
    <mergeCell ref="S62:V62"/>
    <mergeCell ref="W62:X62"/>
    <mergeCell ref="A61:K61"/>
    <mergeCell ref="L61:M61"/>
    <mergeCell ref="N61:O61"/>
    <mergeCell ref="P61:R61"/>
    <mergeCell ref="S61:V61"/>
    <mergeCell ref="W61:X61"/>
    <mergeCell ref="A60:K60"/>
    <mergeCell ref="L60:M60"/>
    <mergeCell ref="N60:O60"/>
    <mergeCell ref="P60:R60"/>
    <mergeCell ref="S60:V60"/>
    <mergeCell ref="W60:X60"/>
    <mergeCell ref="A59:K59"/>
    <mergeCell ref="L59:M59"/>
    <mergeCell ref="N59:O59"/>
    <mergeCell ref="P59:R59"/>
    <mergeCell ref="S59:V59"/>
    <mergeCell ref="W59:X59"/>
    <mergeCell ref="A58:K58"/>
    <mergeCell ref="L58:M58"/>
    <mergeCell ref="N58:O58"/>
    <mergeCell ref="P58:R58"/>
    <mergeCell ref="S58:V58"/>
    <mergeCell ref="W58:X58"/>
    <mergeCell ref="A57:K57"/>
    <mergeCell ref="L57:M57"/>
    <mergeCell ref="N57:O57"/>
    <mergeCell ref="P57:R57"/>
    <mergeCell ref="S57:V57"/>
    <mergeCell ref="W57:X57"/>
    <mergeCell ref="A56:K56"/>
    <mergeCell ref="L56:M56"/>
    <mergeCell ref="N56:O56"/>
    <mergeCell ref="P56:R56"/>
    <mergeCell ref="S56:V56"/>
    <mergeCell ref="W56:X56"/>
    <mergeCell ref="A55:K55"/>
    <mergeCell ref="L55:M55"/>
    <mergeCell ref="N55:O55"/>
    <mergeCell ref="P55:R55"/>
    <mergeCell ref="S55:V55"/>
    <mergeCell ref="W55:X55"/>
    <mergeCell ref="A54:K54"/>
    <mergeCell ref="L54:M54"/>
    <mergeCell ref="N54:O54"/>
    <mergeCell ref="P54:R54"/>
    <mergeCell ref="S54:V54"/>
    <mergeCell ref="W54:X54"/>
    <mergeCell ref="A53:K53"/>
    <mergeCell ref="L53:M53"/>
    <mergeCell ref="N53:O53"/>
    <mergeCell ref="P53:R53"/>
    <mergeCell ref="S53:V53"/>
    <mergeCell ref="W53:X53"/>
    <mergeCell ref="A52:K52"/>
    <mergeCell ref="L52:M52"/>
    <mergeCell ref="N52:O52"/>
    <mergeCell ref="P52:R52"/>
    <mergeCell ref="S52:V52"/>
    <mergeCell ref="W52:X52"/>
    <mergeCell ref="A51:K51"/>
    <mergeCell ref="L51:M51"/>
    <mergeCell ref="N51:O51"/>
    <mergeCell ref="P51:R51"/>
    <mergeCell ref="S51:V51"/>
    <mergeCell ref="W51:X51"/>
    <mergeCell ref="A50:K50"/>
    <mergeCell ref="L50:M50"/>
    <mergeCell ref="N50:O50"/>
    <mergeCell ref="P50:R50"/>
    <mergeCell ref="S50:V50"/>
    <mergeCell ref="W50:X50"/>
    <mergeCell ref="A49:K49"/>
    <mergeCell ref="L49:M49"/>
    <mergeCell ref="N49:O49"/>
    <mergeCell ref="P49:R49"/>
    <mergeCell ref="S49:V49"/>
    <mergeCell ref="W49:X49"/>
    <mergeCell ref="A48:K48"/>
    <mergeCell ref="L48:M48"/>
    <mergeCell ref="N48:O48"/>
    <mergeCell ref="P48:R48"/>
    <mergeCell ref="S48:V48"/>
    <mergeCell ref="W48:X48"/>
    <mergeCell ref="A47:K47"/>
    <mergeCell ref="L47:M47"/>
    <mergeCell ref="N47:O47"/>
    <mergeCell ref="P47:R47"/>
    <mergeCell ref="S47:V47"/>
    <mergeCell ref="W47:X47"/>
    <mergeCell ref="A46:K46"/>
    <mergeCell ref="L46:M46"/>
    <mergeCell ref="N46:O46"/>
    <mergeCell ref="P46:R46"/>
    <mergeCell ref="S46:V46"/>
    <mergeCell ref="W46:X46"/>
    <mergeCell ref="A45:K45"/>
    <mergeCell ref="L45:M45"/>
    <mergeCell ref="N45:O45"/>
    <mergeCell ref="P45:R45"/>
    <mergeCell ref="S45:V45"/>
    <mergeCell ref="W45:X45"/>
    <mergeCell ref="A44:K44"/>
    <mergeCell ref="L44:M44"/>
    <mergeCell ref="N44:O44"/>
    <mergeCell ref="P44:R44"/>
    <mergeCell ref="S44:V44"/>
    <mergeCell ref="W44:X44"/>
    <mergeCell ref="A43:K43"/>
    <mergeCell ref="L43:M43"/>
    <mergeCell ref="N43:O43"/>
    <mergeCell ref="P43:R43"/>
    <mergeCell ref="S43:V43"/>
    <mergeCell ref="W43:X43"/>
    <mergeCell ref="A42:K42"/>
    <mergeCell ref="L42:M42"/>
    <mergeCell ref="N42:O42"/>
    <mergeCell ref="P42:R42"/>
    <mergeCell ref="S42:V42"/>
    <mergeCell ref="W42:X42"/>
    <mergeCell ref="A41:K41"/>
    <mergeCell ref="L41:M41"/>
    <mergeCell ref="N41:O41"/>
    <mergeCell ref="P41:R41"/>
    <mergeCell ref="S41:V41"/>
    <mergeCell ref="W41:X41"/>
    <mergeCell ref="A40:K40"/>
    <mergeCell ref="L40:M40"/>
    <mergeCell ref="N40:O40"/>
    <mergeCell ref="P40:R40"/>
    <mergeCell ref="S40:V40"/>
    <mergeCell ref="W40:X40"/>
    <mergeCell ref="A39:K39"/>
    <mergeCell ref="L39:M39"/>
    <mergeCell ref="N39:O39"/>
    <mergeCell ref="P39:R39"/>
    <mergeCell ref="S39:V39"/>
    <mergeCell ref="W39:X39"/>
    <mergeCell ref="A38:K38"/>
    <mergeCell ref="L38:M38"/>
    <mergeCell ref="N38:O38"/>
    <mergeCell ref="P38:R38"/>
    <mergeCell ref="S38:V38"/>
    <mergeCell ref="W38:X38"/>
    <mergeCell ref="A35:X35"/>
    <mergeCell ref="A36:X36"/>
    <mergeCell ref="A37:K37"/>
    <mergeCell ref="L37:M37"/>
    <mergeCell ref="N37:O37"/>
    <mergeCell ref="P37:R37"/>
    <mergeCell ref="S37:V37"/>
    <mergeCell ref="W37:X37"/>
    <mergeCell ref="A34:K34"/>
    <mergeCell ref="L34:M34"/>
    <mergeCell ref="N34:O34"/>
    <mergeCell ref="P34:R34"/>
    <mergeCell ref="S34:V34"/>
    <mergeCell ref="W34:X34"/>
    <mergeCell ref="A33:K33"/>
    <mergeCell ref="L33:M33"/>
    <mergeCell ref="N33:O33"/>
    <mergeCell ref="P33:R33"/>
    <mergeCell ref="S33:V33"/>
    <mergeCell ref="W33:X33"/>
    <mergeCell ref="A32:K32"/>
    <mergeCell ref="L32:M32"/>
    <mergeCell ref="N32:O32"/>
    <mergeCell ref="P32:R32"/>
    <mergeCell ref="S32:V32"/>
    <mergeCell ref="W32:X32"/>
    <mergeCell ref="A31:K31"/>
    <mergeCell ref="L31:M31"/>
    <mergeCell ref="N31:O31"/>
    <mergeCell ref="P31:R31"/>
    <mergeCell ref="S31:V31"/>
    <mergeCell ref="W31:X31"/>
    <mergeCell ref="A30:K30"/>
    <mergeCell ref="L30:M30"/>
    <mergeCell ref="N30:O30"/>
    <mergeCell ref="P30:R30"/>
    <mergeCell ref="S30:V30"/>
    <mergeCell ref="W30:X30"/>
    <mergeCell ref="A29:K29"/>
    <mergeCell ref="L29:M29"/>
    <mergeCell ref="N29:O29"/>
    <mergeCell ref="P29:R29"/>
    <mergeCell ref="S29:V29"/>
    <mergeCell ref="W29:X29"/>
    <mergeCell ref="A28:K28"/>
    <mergeCell ref="L28:M28"/>
    <mergeCell ref="N28:O28"/>
    <mergeCell ref="P28:R28"/>
    <mergeCell ref="S28:V28"/>
    <mergeCell ref="W28:X28"/>
    <mergeCell ref="A27:K27"/>
    <mergeCell ref="L27:M27"/>
    <mergeCell ref="N27:O27"/>
    <mergeCell ref="P27:R27"/>
    <mergeCell ref="S27:V27"/>
    <mergeCell ref="W27:X27"/>
    <mergeCell ref="A26:K26"/>
    <mergeCell ref="L26:M26"/>
    <mergeCell ref="N26:O26"/>
    <mergeCell ref="P26:R26"/>
    <mergeCell ref="S26:V26"/>
    <mergeCell ref="W26:X26"/>
    <mergeCell ref="A25:K25"/>
    <mergeCell ref="L25:M25"/>
    <mergeCell ref="N25:O25"/>
    <mergeCell ref="P25:R25"/>
    <mergeCell ref="S25:V25"/>
    <mergeCell ref="W25:X25"/>
    <mergeCell ref="A24:K24"/>
    <mergeCell ref="L24:M24"/>
    <mergeCell ref="N24:O24"/>
    <mergeCell ref="P24:R24"/>
    <mergeCell ref="S24:V24"/>
    <mergeCell ref="W24:X24"/>
    <mergeCell ref="A23:K23"/>
    <mergeCell ref="L23:M23"/>
    <mergeCell ref="N23:O23"/>
    <mergeCell ref="P23:R23"/>
    <mergeCell ref="S23:V23"/>
    <mergeCell ref="W23:X23"/>
    <mergeCell ref="A22:K22"/>
    <mergeCell ref="L22:M22"/>
    <mergeCell ref="N22:O22"/>
    <mergeCell ref="P22:R22"/>
    <mergeCell ref="S22:V22"/>
    <mergeCell ref="W22:X22"/>
    <mergeCell ref="A21:K21"/>
    <mergeCell ref="L21:M21"/>
    <mergeCell ref="N21:O21"/>
    <mergeCell ref="P21:R21"/>
    <mergeCell ref="S21:V21"/>
    <mergeCell ref="W21:X21"/>
    <mergeCell ref="A20:K20"/>
    <mergeCell ref="L20:M20"/>
    <mergeCell ref="N20:O20"/>
    <mergeCell ref="P20:R20"/>
    <mergeCell ref="S20:V20"/>
    <mergeCell ref="W20:X20"/>
    <mergeCell ref="A19:K19"/>
    <mergeCell ref="L19:M19"/>
    <mergeCell ref="N19:O19"/>
    <mergeCell ref="P19:R19"/>
    <mergeCell ref="S19:V19"/>
    <mergeCell ref="W19:X19"/>
    <mergeCell ref="A18:K18"/>
    <mergeCell ref="L18:M18"/>
    <mergeCell ref="N18:O18"/>
    <mergeCell ref="P18:R18"/>
    <mergeCell ref="S18:V18"/>
    <mergeCell ref="W18:X18"/>
    <mergeCell ref="A17:K17"/>
    <mergeCell ref="L17:M17"/>
    <mergeCell ref="N17:O17"/>
    <mergeCell ref="P17:R17"/>
    <mergeCell ref="S17:V17"/>
    <mergeCell ref="W17:X17"/>
    <mergeCell ref="A16:K16"/>
    <mergeCell ref="L16:M16"/>
    <mergeCell ref="N16:O16"/>
    <mergeCell ref="P16:R16"/>
    <mergeCell ref="S16:V16"/>
    <mergeCell ref="W16:X16"/>
    <mergeCell ref="A15:K15"/>
    <mergeCell ref="L15:M15"/>
    <mergeCell ref="N15:O15"/>
    <mergeCell ref="P15:R15"/>
    <mergeCell ref="S15:V15"/>
    <mergeCell ref="W15:X15"/>
    <mergeCell ref="A14:K14"/>
    <mergeCell ref="L14:M14"/>
    <mergeCell ref="N14:O14"/>
    <mergeCell ref="P14:R14"/>
    <mergeCell ref="S14:V14"/>
    <mergeCell ref="W14:X14"/>
    <mergeCell ref="A13:K13"/>
    <mergeCell ref="L13:M13"/>
    <mergeCell ref="N13:O13"/>
    <mergeCell ref="P13:R13"/>
    <mergeCell ref="S13:V13"/>
    <mergeCell ref="W13:X13"/>
    <mergeCell ref="A12:K12"/>
    <mergeCell ref="L12:M12"/>
    <mergeCell ref="N12:O12"/>
    <mergeCell ref="P12:R12"/>
    <mergeCell ref="S12:V12"/>
    <mergeCell ref="W12:X12"/>
    <mergeCell ref="A11:K11"/>
    <mergeCell ref="L11:M11"/>
    <mergeCell ref="N11:O11"/>
    <mergeCell ref="P11:R11"/>
    <mergeCell ref="S11:V11"/>
    <mergeCell ref="W11:X11"/>
    <mergeCell ref="A9:X9"/>
    <mergeCell ref="A10:K10"/>
    <mergeCell ref="L10:M10"/>
    <mergeCell ref="N10:O10"/>
    <mergeCell ref="P10:R10"/>
    <mergeCell ref="S10:V10"/>
    <mergeCell ref="W10:X10"/>
    <mergeCell ref="A6:F6"/>
    <mergeCell ref="G6:T6"/>
    <mergeCell ref="U6:W6"/>
    <mergeCell ref="B7:W7"/>
    <mergeCell ref="A8:D8"/>
    <mergeCell ref="E8:S8"/>
    <mergeCell ref="T8:W8"/>
    <mergeCell ref="A1:W1"/>
    <mergeCell ref="A2:W2"/>
    <mergeCell ref="A3:U3"/>
    <mergeCell ref="V3:W3"/>
    <mergeCell ref="A4:E5"/>
    <mergeCell ref="F4:T5"/>
    <mergeCell ref="U4:W4"/>
    <mergeCell ref="U5:W5"/>
  </mergeCells>
  <pageMargins left="0.39370078740157483" right="0" top="0.39370078740157483" bottom="0" header="0.5" footer="0.5"/>
  <pageSetup paperSize="0" firstPageNumber="4294967295" orientation="landscape" horizontalDpi="0" verticalDpi="0" copies="0"/>
  <headerFooter alignWithMargins="0">
    <oddFooter>&amp;CСтраница &amp;С из &amp;К</oddFooter>
  </headerFooter>
  <rowBreaks count="2" manualBreakCount="2">
    <brk id="35" max="16383" man="1"/>
    <brk id="188" max="16383" man="1"/>
  </rowBreaks>
  <colBreaks count="2" manualBreakCount="2">
    <brk max="1048575" man="1"/>
    <brk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0503117 Отчет об исп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Яна</cp:lastModifiedBy>
  <dcterms:created xsi:type="dcterms:W3CDTF">2015-05-18T09:42:10Z</dcterms:created>
  <dcterms:modified xsi:type="dcterms:W3CDTF">2015-05-18T09:42:10Z</dcterms:modified>
</cp:coreProperties>
</file>